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55" windowWidth="16125" windowHeight="111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<sst xmlns="http://schemas.openxmlformats.org/spreadsheetml/2006/main" count="238" uniqueCount="68">
  <si>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</si>
  <si>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</si>
  <si>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</si>
  <si>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</si>
  <si>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</si>
  <si>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</si>
  <si>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</si>
  <si>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</si>
  <si>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</si>
  <si>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</si>
  <si>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</si>
  <si>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</si>
  <si>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</si>
  <si>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</si>
  <si>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</si>
  <si>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</si>
  <si>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</si>
  <si>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</si>
  <si>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</si>
  <si>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</si>
  <si>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</si>
  <si>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</si>
  <si>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</si>
  <si>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</si>
  <si>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</si>
  <si>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</si>
  <si>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</si>
  <si>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</si>
  <si>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</si>
  <si>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</si>
  <si>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</si>
  <si>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</si>
  <si>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</si>
  <si>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</si>
  <si>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</si>
  <si>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</si>
  <si>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</si>
  <si>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</si>
  <si>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</si>
  <si>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</si>
  <si>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</si>
  <si>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</si>
  <si>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</si>
  <si>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</si>
  <si>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</si>
  <si>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</si>
  <si>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</si>
  <si>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</si>
  <si>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</si>
  <si>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</si>
  <si>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</si>
  <si>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</si>
  <si>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</si>
  <si>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</si>
  <si>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</si>
  <si>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Sporthalle: "Alte Ziegelei" Friedrichsdorfer Straße</t>
  </si>
  <si>
    <t>SV Avenwedde</t>
  </si>
  <si>
    <t>Fußballturnier für 2 x 5 Mannschaften</t>
  </si>
  <si>
    <t>SV Spexard</t>
  </si>
  <si>
    <t>SC Verl II</t>
  </si>
  <si>
    <t>Vikt. Rietberg</t>
  </si>
  <si>
    <t>TuS Friedrichsdorf</t>
  </si>
  <si>
    <t>BW 98 Gütersloh</t>
  </si>
  <si>
    <t>SC Wiedenbrück II</t>
  </si>
  <si>
    <t>13. Brinker - Cup 2015</t>
  </si>
  <si>
    <t>SCE Gütersloh</t>
  </si>
  <si>
    <t>SC Blankenhagen</t>
  </si>
  <si>
    <t>SCC Italia Gütersloh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</si>
</sst>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6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8" borderId="20" xfId="0" applyFont="1" applyFill="1" applyBorder="1" applyAlignment="1" applyProtection="1">
      <alignment horizontal="center" textRotation="90" shrinkToFit="1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70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7" fillId="8" borderId="22" xfId="0" applyFont="1" applyFill="1" applyBorder="1" applyAlignment="1" applyProtection="1">
      <alignment horizontal="center" textRotation="90" shrinkToFit="1"/>
      <protection hidden="1"/>
    </xf>
    <xf numFmtId="0" fontId="17" fillId="8" borderId="23" xfId="0" applyFont="1" applyFill="1" applyBorder="1" applyAlignment="1" applyProtection="1">
      <alignment horizontal="center" textRotation="90" shrinkToFit="1"/>
      <protection hidden="1"/>
    </xf>
    <xf numFmtId="0" fontId="17" fillId="8" borderId="24" xfId="0" applyFont="1" applyFill="1" applyBorder="1" applyAlignment="1" applyProtection="1">
      <alignment horizontal="center" textRotation="90" shrinkToFit="1"/>
      <protection hidden="1"/>
    </xf>
    <xf numFmtId="0" fontId="17" fillId="8" borderId="25" xfId="0" applyFont="1" applyFill="1" applyBorder="1" applyAlignment="1" applyProtection="1">
      <alignment horizontal="center" textRotation="90" shrinkToFit="1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8" borderId="28" xfId="0" applyFont="1" applyFill="1" applyBorder="1" applyAlignment="1" applyProtection="1">
      <alignment horizontal="center" textRotation="90" shrinkToFit="1"/>
      <protection hidden="1"/>
    </xf>
    <xf numFmtId="0" fontId="21" fillId="20" borderId="17" xfId="0" applyFont="1" applyFill="1" applyBorder="1" applyAlignment="1" applyProtection="1">
      <alignment horizontal="center" vertical="center"/>
      <protection hidden="1"/>
    </xf>
    <xf numFmtId="0" fontId="21" fillId="20" borderId="18" xfId="0" applyFont="1" applyFill="1" applyBorder="1" applyAlignment="1" applyProtection="1">
      <alignment horizontal="center" vertical="center"/>
      <protection hidden="1"/>
    </xf>
    <xf numFmtId="0" fontId="21" fillId="20" borderId="16" xfId="0" applyFont="1" applyFill="1" applyBorder="1" applyAlignment="1" applyProtection="1">
      <alignment horizontal="center" vertical="center"/>
      <protection hidden="1"/>
    </xf>
    <xf numFmtId="20" fontId="17" fillId="0" borderId="21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20" borderId="21" xfId="0" applyFont="1" applyFill="1" applyBorder="1" applyAlignment="1" applyProtection="1">
      <alignment horizontal="center" vertical="center" shrinkToFit="1"/>
      <protection hidden="1"/>
    </xf>
    <xf numFmtId="0" fontId="17" fillId="20" borderId="10" xfId="0" applyFont="1" applyFill="1" applyBorder="1" applyAlignment="1" applyProtection="1">
      <alignment horizontal="center" vertical="center" shrinkToFit="1"/>
      <protection hidden="1"/>
    </xf>
    <xf numFmtId="0" fontId="17" fillId="20" borderId="29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170" fontId="17" fillId="0" borderId="19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21" fillId="20" borderId="42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2" borderId="28" xfId="0" applyFont="1" applyFill="1" applyBorder="1" applyAlignment="1" applyProtection="1">
      <alignment horizontal="center" textRotation="90"/>
      <protection hidden="1"/>
    </xf>
    <xf numFmtId="0" fontId="17" fillId="2" borderId="24" xfId="0" applyFont="1" applyFill="1" applyBorder="1" applyAlignment="1" applyProtection="1">
      <alignment horizontal="center" textRotation="90"/>
      <protection hidden="1"/>
    </xf>
    <xf numFmtId="0" fontId="17" fillId="2" borderId="22" xfId="0" applyFont="1" applyFill="1" applyBorder="1" applyAlignment="1" applyProtection="1">
      <alignment horizontal="center" textRotation="90"/>
      <protection hidden="1"/>
    </xf>
    <xf numFmtId="0" fontId="17" fillId="2" borderId="23" xfId="0" applyFont="1" applyFill="1" applyBorder="1" applyAlignment="1" applyProtection="1">
      <alignment horizontal="center" textRotation="90"/>
      <protection hidden="1"/>
    </xf>
    <xf numFmtId="0" fontId="17" fillId="2" borderId="25" xfId="0" applyFont="1" applyFill="1" applyBorder="1" applyAlignment="1" applyProtection="1">
      <alignment horizontal="center" textRotation="90"/>
      <protection hidden="1"/>
    </xf>
    <xf numFmtId="0" fontId="17" fillId="2" borderId="20" xfId="0" applyFont="1" applyFill="1" applyBorder="1" applyAlignment="1" applyProtection="1">
      <alignment horizontal="center" textRotation="90"/>
      <protection hidden="1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20" borderId="26" xfId="0" applyFont="1" applyFill="1" applyBorder="1" applyAlignment="1" applyProtection="1">
      <alignment horizontal="center" vertical="center" shrinkToFit="1"/>
      <protection hidden="1"/>
    </xf>
    <xf numFmtId="0" fontId="17" fillId="20" borderId="27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1" fontId="17" fillId="0" borderId="36" xfId="0" applyNumberFormat="1" applyFont="1" applyBorder="1" applyAlignment="1" applyProtection="1">
      <alignment horizontal="center" vertical="center"/>
      <protection hidden="1"/>
    </xf>
    <xf numFmtId="1" fontId="17" fillId="0" borderId="43" xfId="0" applyNumberFormat="1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8" borderId="17" xfId="0" applyFont="1" applyFill="1" applyBorder="1" applyAlignment="1" applyProtection="1">
      <alignment horizontal="center" vertical="center"/>
      <protection hidden="1"/>
    </xf>
    <xf numFmtId="0" fontId="17" fillId="8" borderId="16" xfId="0" applyFont="1" applyFill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20" borderId="46" xfId="0" applyFont="1" applyFill="1" applyBorder="1" applyAlignment="1" applyProtection="1">
      <alignment horizontal="center" vertical="center" shrinkToFit="1"/>
      <protection hidden="1"/>
    </xf>
    <xf numFmtId="0" fontId="17" fillId="20" borderId="40" xfId="0" applyFont="1" applyFill="1" applyBorder="1" applyAlignment="1" applyProtection="1">
      <alignment horizontal="center" vertical="center" shrinkToFit="1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41" xfId="0" applyFont="1" applyBorder="1" applyAlignment="1" applyProtection="1">
      <alignment horizontal="center" vertical="center" shrinkToFit="1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2" fontId="17" fillId="0" borderId="47" xfId="0" applyNumberFormat="1" applyFont="1" applyBorder="1" applyAlignment="1" applyProtection="1">
      <alignment horizontal="center" vertical="center"/>
      <protection hidden="1"/>
    </xf>
    <xf numFmtId="172" fontId="17" fillId="0" borderId="29" xfId="0" applyNumberFormat="1" applyFont="1" applyBorder="1" applyAlignment="1" applyProtection="1">
      <alignment horizontal="center" vertical="center"/>
      <protection hidden="1"/>
    </xf>
    <xf numFmtId="172" fontId="17" fillId="0" borderId="48" xfId="0" applyNumberFormat="1" applyFont="1" applyBorder="1" applyAlignment="1" applyProtection="1">
      <alignment horizontal="center" vertical="center"/>
      <protection hidden="1"/>
    </xf>
    <xf numFmtId="172" fontId="17" fillId="0" borderId="35" xfId="0" applyNumberFormat="1" applyFont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17" fillId="4" borderId="49" xfId="0" applyFont="1" applyFill="1" applyBorder="1" applyAlignment="1" applyProtection="1">
      <alignment horizontal="center" vertical="center"/>
      <protection hidden="1"/>
    </xf>
    <xf numFmtId="0" fontId="17" fillId="4" borderId="17" xfId="0" applyFont="1" applyFill="1" applyBorder="1" applyAlignment="1" applyProtection="1">
      <alignment horizontal="center" vertical="center"/>
      <protection hidden="1"/>
    </xf>
    <xf numFmtId="20" fontId="17" fillId="0" borderId="19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8" borderId="18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8" borderId="50" xfId="0" applyFont="1" applyFill="1" applyBorder="1" applyAlignment="1" applyProtection="1">
      <alignment horizontal="center" vertical="center" shrinkToFit="1"/>
      <protection hidden="1"/>
    </xf>
    <xf numFmtId="0" fontId="17" fillId="8" borderId="18" xfId="0" applyFont="1" applyFill="1" applyBorder="1" applyAlignment="1" applyProtection="1">
      <alignment horizontal="center" vertical="center" shrinkToFit="1"/>
      <protection hidden="1"/>
    </xf>
    <xf numFmtId="0" fontId="17" fillId="8" borderId="51" xfId="0" applyFont="1" applyFill="1" applyBorder="1" applyAlignment="1" applyProtection="1">
      <alignment horizontal="center" textRotation="90" shrinkToFit="1"/>
      <protection hidden="1"/>
    </xf>
    <xf numFmtId="0" fontId="17" fillId="8" borderId="52" xfId="0" applyFont="1" applyFill="1" applyBorder="1" applyAlignment="1" applyProtection="1">
      <alignment horizontal="center" textRotation="90" shrinkToFit="1"/>
      <protection hidden="1"/>
    </xf>
    <xf numFmtId="0" fontId="17" fillId="8" borderId="53" xfId="0" applyFont="1" applyFill="1" applyBorder="1" applyAlignment="1" applyProtection="1">
      <alignment horizontal="center" textRotation="90" shrinkToFit="1"/>
      <protection hidden="1"/>
    </xf>
    <xf numFmtId="0" fontId="17" fillId="2" borderId="50" xfId="0" applyFont="1" applyFill="1" applyBorder="1" applyAlignment="1" applyProtection="1">
      <alignment horizontal="center" vertical="center" shrinkToFit="1"/>
      <protection hidden="1"/>
    </xf>
    <xf numFmtId="0" fontId="17" fillId="2" borderId="18" xfId="0" applyFont="1" applyFill="1" applyBorder="1" applyAlignment="1" applyProtection="1">
      <alignment horizontal="center" vertical="center" shrinkToFit="1"/>
      <protection hidden="1"/>
    </xf>
    <xf numFmtId="0" fontId="17" fillId="4" borderId="18" xfId="0" applyFont="1" applyFill="1" applyBorder="1" applyAlignment="1" applyProtection="1">
      <alignment horizontal="center"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left" vertical="center" shrinkToFit="1"/>
      <protection hidden="1"/>
    </xf>
    <xf numFmtId="0" fontId="17" fillId="0" borderId="26" xfId="0" applyFont="1" applyBorder="1" applyAlignment="1" applyProtection="1">
      <alignment horizontal="left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left" vertical="center" shrinkToFit="1"/>
      <protection hidden="1"/>
    </xf>
    <xf numFmtId="0" fontId="17" fillId="0" borderId="40" xfId="0" applyFont="1" applyBorder="1" applyAlignment="1" applyProtection="1">
      <alignment horizontal="left" vertical="center" shrinkToFit="1"/>
      <protection hidden="1"/>
    </xf>
    <xf numFmtId="172" fontId="17" fillId="0" borderId="45" xfId="0" applyNumberFormat="1" applyFont="1" applyBorder="1" applyAlignment="1" applyProtection="1">
      <alignment horizontal="center" vertical="center"/>
      <protection hidden="1"/>
    </xf>
    <xf numFmtId="172" fontId="17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172" fontId="17" fillId="0" borderId="27" xfId="0" applyNumberFormat="1" applyFont="1" applyBorder="1" applyAlignment="1" applyProtection="1">
      <alignment horizontal="center" vertical="center"/>
      <protection hidden="1"/>
    </xf>
    <xf numFmtId="172" fontId="17" fillId="0" borderId="44" xfId="0" applyNumberFormat="1" applyFont="1" applyBorder="1" applyAlignment="1" applyProtection="1">
      <alignment horizontal="center" vertical="center"/>
      <protection hidden="1"/>
    </xf>
    <xf numFmtId="172" fontId="17" fillId="0" borderId="41" xfId="0" applyNumberFormat="1" applyFont="1" applyBorder="1" applyAlignment="1" applyProtection="1">
      <alignment horizontal="center" vertical="center"/>
      <protection hidden="1"/>
    </xf>
    <xf numFmtId="172" fontId="17" fillId="0" borderId="39" xfId="0" applyNumberFormat="1" applyFont="1" applyBorder="1" applyAlignment="1" applyProtection="1">
      <alignment horizontal="center" vertical="center"/>
      <protection hidden="1"/>
    </xf>
    <xf numFmtId="170" fontId="17" fillId="0" borderId="34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54" xfId="0" applyFont="1" applyFill="1" applyBorder="1" applyAlignment="1" applyProtection="1">
      <alignment horizontal="center" vertical="center"/>
      <protection hidden="1"/>
    </xf>
    <xf numFmtId="0" fontId="21" fillId="0" borderId="55" xfId="0" applyFont="1" applyFill="1" applyBorder="1" applyAlignment="1" applyProtection="1">
      <alignment horizontal="center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17" fillId="4" borderId="58" xfId="0" applyFont="1" applyFill="1" applyBorder="1" applyAlignment="1" applyProtection="1">
      <alignment horizontal="center" vertical="center"/>
      <protection hidden="1"/>
    </xf>
    <xf numFmtId="0" fontId="17" fillId="4" borderId="59" xfId="0" applyFont="1" applyFill="1" applyBorder="1" applyAlignment="1" applyProtection="1">
      <alignment horizontal="center" vertical="center"/>
      <protection hidden="1"/>
    </xf>
    <xf numFmtId="166" fontId="21" fillId="0" borderId="60" xfId="0" applyNumberFormat="1" applyFont="1" applyFill="1" applyBorder="1" applyAlignment="1" applyProtection="1">
      <alignment horizontal="center" vertical="center"/>
      <protection hidden="1"/>
    </xf>
    <xf numFmtId="166" fontId="21" fillId="0" borderId="61" xfId="0" applyNumberFormat="1" applyFont="1" applyFill="1" applyBorder="1" applyAlignment="1" applyProtection="1">
      <alignment horizontal="center" vertical="center"/>
      <protection hidden="1"/>
    </xf>
    <xf numFmtId="166" fontId="21" fillId="0" borderId="55" xfId="0" applyNumberFormat="1" applyFont="1" applyFill="1" applyBorder="1" applyAlignment="1" applyProtection="1">
      <alignment horizontal="center" vertical="center"/>
      <protection hidden="1"/>
    </xf>
    <xf numFmtId="166" fontId="21" fillId="0" borderId="62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57" xfId="0" applyNumberFormat="1" applyFont="1" applyFill="1" applyBorder="1" applyAlignment="1" applyProtection="1">
      <alignment horizontal="center" vertical="center"/>
      <protection hidden="1"/>
    </xf>
    <xf numFmtId="0" fontId="17" fillId="7" borderId="50" xfId="0" applyFont="1" applyFill="1" applyBorder="1" applyAlignment="1" applyProtection="1">
      <alignment horizontal="center" vertical="center"/>
      <protection hidden="1"/>
    </xf>
    <xf numFmtId="0" fontId="17" fillId="7" borderId="16" xfId="0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63" xfId="0" applyNumberFormat="1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64" xfId="0" applyFont="1" applyBorder="1" applyAlignment="1" applyProtection="1">
      <alignment horizontal="left" vertical="center" shrinkToFit="1"/>
      <protection locked="0"/>
    </xf>
    <xf numFmtId="0" fontId="17" fillId="2" borderId="50" xfId="0" applyFont="1" applyFill="1" applyBorder="1" applyAlignment="1" applyProtection="1">
      <alignment horizontal="center" vertical="center"/>
      <protection hidden="1"/>
    </xf>
    <xf numFmtId="0" fontId="17" fillId="2" borderId="65" xfId="0" applyFont="1" applyFill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67" xfId="0" applyFont="1" applyBorder="1" applyAlignment="1" applyProtection="1">
      <alignment horizontal="left" vertical="center" shrinkToFit="1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7" fillId="0" borderId="35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7" fillId="0" borderId="6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64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68" xfId="0" applyFont="1" applyBorder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17" fillId="0" borderId="66" xfId="0" applyNumberFormat="1" applyFont="1" applyBorder="1" applyAlignment="1" applyProtection="1">
      <alignment horizontal="center" vertical="center"/>
      <protection hidden="1"/>
    </xf>
    <xf numFmtId="172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67" xfId="0" applyFont="1" applyBorder="1" applyAlignment="1" applyProtection="1">
      <alignment horizontal="left" vertical="center"/>
      <protection hidden="1"/>
    </xf>
    <xf numFmtId="0" fontId="17" fillId="0" borderId="67" xfId="0" applyFont="1" applyBorder="1" applyAlignment="1" applyProtection="1">
      <alignment horizontal="center" vertical="center"/>
      <protection hidden="1"/>
    </xf>
    <xf numFmtId="0" fontId="17" fillId="0" borderId="64" xfId="0" applyFont="1" applyBorder="1" applyAlignment="1" applyProtection="1">
      <alignment horizontal="center" vertical="center"/>
      <protection hidden="1"/>
    </xf>
    <xf numFmtId="1" fontId="17" fillId="0" borderId="39" xfId="0" applyNumberFormat="1" applyFont="1" applyBorder="1" applyAlignment="1" applyProtection="1">
      <alignment horizontal="center" vertical="center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0" fontId="21" fillId="20" borderId="60" xfId="0" applyFont="1" applyFill="1" applyBorder="1" applyAlignment="1" applyProtection="1">
      <alignment horizontal="center" vertical="center"/>
      <protection hidden="1"/>
    </xf>
    <xf numFmtId="0" fontId="21" fillId="20" borderId="61" xfId="0" applyFont="1" applyFill="1" applyBorder="1" applyAlignment="1" applyProtection="1">
      <alignment horizontal="center" vertical="center"/>
      <protection hidden="1"/>
    </xf>
    <xf numFmtId="0" fontId="17" fillId="8" borderId="65" xfId="0" applyFont="1" applyFill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69" xfId="0" applyFont="1" applyBorder="1" applyAlignment="1" applyProtection="1">
      <alignment horizontal="center" vertical="center"/>
      <protection hidden="1"/>
    </xf>
    <xf numFmtId="0" fontId="21" fillId="20" borderId="59" xfId="0" applyFont="1" applyFill="1" applyBorder="1" applyAlignment="1" applyProtection="1">
      <alignment horizontal="center" vertical="center"/>
      <protection hidden="1"/>
    </xf>
    <xf numFmtId="0" fontId="21" fillId="20" borderId="49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5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textRotation="90"/>
      <protection hidden="1"/>
    </xf>
    <xf numFmtId="0" fontId="17" fillId="2" borderId="52" xfId="0" applyFont="1" applyFill="1" applyBorder="1" applyAlignment="1" applyProtection="1">
      <alignment horizontal="center" textRotation="90"/>
      <protection hidden="1"/>
    </xf>
    <xf numFmtId="0" fontId="17" fillId="2" borderId="53" xfId="0" applyFont="1" applyFill="1" applyBorder="1" applyAlignment="1" applyProtection="1">
      <alignment horizontal="center" textRotation="90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48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68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69" xfId="0" applyFont="1" applyBorder="1" applyAlignment="1" applyProtection="1">
      <alignment horizontal="center" vertical="center" shrinkToFit="1"/>
      <protection locked="0"/>
    </xf>
    <xf numFmtId="0" fontId="17" fillId="8" borderId="50" xfId="0" applyFont="1" applyFill="1" applyBorder="1" applyAlignment="1" applyProtection="1">
      <alignment horizontal="center" vertical="center"/>
      <protection hidden="1"/>
    </xf>
    <xf numFmtId="0" fontId="21" fillId="7" borderId="17" xfId="0" applyFont="1" applyFill="1" applyBorder="1" applyAlignment="1" applyProtection="1">
      <alignment horizontal="center" vertical="center"/>
      <protection hidden="1"/>
    </xf>
    <xf numFmtId="0" fontId="21" fillId="7" borderId="18" xfId="0" applyFont="1" applyFill="1" applyBorder="1" applyAlignment="1" applyProtection="1">
      <alignment horizontal="center" vertical="center"/>
      <protection hidden="1"/>
    </xf>
    <xf numFmtId="0" fontId="21" fillId="7" borderId="65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hidden="1"/>
    </xf>
    <xf numFmtId="0" fontId="21" fillId="4" borderId="18" xfId="0" applyFont="1" applyFill="1" applyBorder="1" applyAlignment="1" applyProtection="1">
      <alignment horizontal="center" vertical="center"/>
      <protection hidden="1"/>
    </xf>
    <xf numFmtId="0" fontId="21" fillId="4" borderId="65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166" fontId="27" fillId="0" borderId="43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63" xfId="0" applyNumberFormat="1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0" fillId="20" borderId="42" xfId="0" applyFont="1" applyFill="1" applyBorder="1" applyAlignment="1" applyProtection="1">
      <alignment horizontal="center" vertical="center" shrinkToFit="1"/>
      <protection hidden="1"/>
    </xf>
    <xf numFmtId="172" fontId="27" fillId="0" borderId="27" xfId="0" applyNumberFormat="1" applyFont="1" applyBorder="1" applyAlignment="1" applyProtection="1">
      <alignment horizontal="center" vertical="center"/>
      <protection hidden="1"/>
    </xf>
    <xf numFmtId="172" fontId="27" fillId="0" borderId="44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5" fillId="0" borderId="48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68" xfId="0" applyFont="1" applyBorder="1" applyAlignment="1" applyProtection="1">
      <alignment horizontal="left" vertical="center" shrinkToFit="1"/>
      <protection hidden="1"/>
    </xf>
    <xf numFmtId="0" fontId="25" fillId="0" borderId="66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67" xfId="0" applyFont="1" applyBorder="1" applyAlignment="1" applyProtection="1">
      <alignment horizontal="left" vertical="center" shrinkToFit="1"/>
      <protection hidden="1"/>
    </xf>
    <xf numFmtId="0" fontId="25" fillId="0" borderId="47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64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7" borderId="50" xfId="0" applyFont="1" applyFill="1" applyBorder="1" applyAlignment="1" applyProtection="1">
      <alignment horizontal="center" vertical="center"/>
      <protection hidden="1"/>
    </xf>
    <xf numFmtId="0" fontId="0" fillId="7" borderId="18" xfId="0" applyFont="1" applyFill="1" applyBorder="1" applyAlignment="1" applyProtection="1">
      <alignment horizontal="center" vertical="center"/>
      <protection hidden="1"/>
    </xf>
    <xf numFmtId="0" fontId="0" fillId="7" borderId="65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29" xfId="0" applyFont="1" applyBorder="1" applyAlignment="1" applyProtection="1">
      <alignment horizontal="center" vertical="center" shrinkToFit="1"/>
      <protection hidden="1"/>
    </xf>
    <xf numFmtId="0" fontId="27" fillId="0" borderId="33" xfId="0" applyFont="1" applyBorder="1" applyAlignment="1" applyProtection="1">
      <alignment horizontal="center" vertical="center" shrinkToFit="1"/>
      <protection hidden="1"/>
    </xf>
    <xf numFmtId="0" fontId="27" fillId="0" borderId="45" xfId="0" applyFont="1" applyBorder="1" applyAlignment="1" applyProtection="1">
      <alignment horizontal="center" vertical="center" shrinkToFit="1"/>
      <protection hidden="1"/>
    </xf>
    <xf numFmtId="0" fontId="27" fillId="20" borderId="26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35" xfId="0" applyFont="1" applyFill="1" applyBorder="1" applyAlignment="1" applyProtection="1">
      <alignment horizontal="left" vertical="center"/>
      <protection hidden="1"/>
    </xf>
    <xf numFmtId="0" fontId="27" fillId="8" borderId="51" xfId="0" applyFont="1" applyFill="1" applyBorder="1" applyAlignment="1" applyProtection="1">
      <alignment horizontal="center" textRotation="90" shrinkToFit="1"/>
      <protection hidden="1"/>
    </xf>
    <xf numFmtId="0" fontId="27" fillId="8" borderId="28" xfId="0" applyFont="1" applyFill="1" applyBorder="1" applyAlignment="1" applyProtection="1">
      <alignment horizontal="center" textRotation="90" shrinkToFit="1"/>
      <protection hidden="1"/>
    </xf>
    <xf numFmtId="0" fontId="27" fillId="8" borderId="52" xfId="0" applyFont="1" applyFill="1" applyBorder="1" applyAlignment="1" applyProtection="1">
      <alignment horizontal="center" textRotation="90" shrinkToFit="1"/>
      <protection hidden="1"/>
    </xf>
    <xf numFmtId="0" fontId="27" fillId="8" borderId="24" xfId="0" applyFont="1" applyFill="1" applyBorder="1" applyAlignment="1" applyProtection="1">
      <alignment horizontal="center" textRotation="90" shrinkToFit="1"/>
      <protection hidden="1"/>
    </xf>
    <xf numFmtId="0" fontId="27" fillId="8" borderId="53" xfId="0" applyFont="1" applyFill="1" applyBorder="1" applyAlignment="1" applyProtection="1">
      <alignment horizontal="center" textRotation="90" shrinkToFit="1"/>
      <protection hidden="1"/>
    </xf>
    <xf numFmtId="0" fontId="27" fillId="8" borderId="22" xfId="0" applyFont="1" applyFill="1" applyBorder="1" applyAlignment="1" applyProtection="1">
      <alignment horizontal="center" textRotation="90" shrinkToFit="1"/>
      <protection hidden="1"/>
    </xf>
    <xf numFmtId="0" fontId="27" fillId="20" borderId="46" xfId="0" applyFont="1" applyFill="1" applyBorder="1" applyAlignment="1" applyProtection="1">
      <alignment horizontal="center" vertical="center" shrinkToFit="1"/>
      <protection hidden="1"/>
    </xf>
    <xf numFmtId="0" fontId="27" fillId="20" borderId="40" xfId="0" applyFont="1" applyFill="1" applyBorder="1" applyAlignment="1" applyProtection="1">
      <alignment horizontal="center" vertical="center" shrinkToFit="1"/>
      <protection hidden="1"/>
    </xf>
    <xf numFmtId="0" fontId="28" fillId="20" borderId="17" xfId="0" applyFont="1" applyFill="1" applyBorder="1" applyAlignment="1" applyProtection="1">
      <alignment horizontal="center" vertical="center"/>
      <protection hidden="1"/>
    </xf>
    <xf numFmtId="0" fontId="28" fillId="20" borderId="18" xfId="0" applyFont="1" applyFill="1" applyBorder="1" applyAlignment="1" applyProtection="1">
      <alignment horizontal="center" vertical="center"/>
      <protection hidden="1"/>
    </xf>
    <xf numFmtId="0" fontId="28" fillId="20" borderId="1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5" xfId="0" applyFont="1" applyFill="1" applyBorder="1" applyAlignment="1" applyProtection="1">
      <alignment horizontal="left" vertical="center" shrinkToFit="1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left" vertical="center" shrinkToFit="1"/>
      <protection hidden="1"/>
    </xf>
    <xf numFmtId="0" fontId="27" fillId="0" borderId="32" xfId="0" applyFont="1" applyBorder="1" applyAlignment="1" applyProtection="1">
      <alignment horizontal="left" vertical="center" shrinkToFit="1"/>
      <protection hidden="1"/>
    </xf>
    <xf numFmtId="0" fontId="27" fillId="0" borderId="33" xfId="0" applyFont="1" applyBorder="1" applyAlignment="1" applyProtection="1">
      <alignment horizontal="left" vertical="center" shrinkToFit="1"/>
      <protection hidden="1"/>
    </xf>
    <xf numFmtId="0" fontId="27" fillId="0" borderId="30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7" fillId="0" borderId="40" xfId="0" applyFont="1" applyBorder="1" applyAlignment="1" applyProtection="1">
      <alignment horizontal="left" vertical="center" shrinkToFit="1"/>
      <protection hidden="1"/>
    </xf>
    <xf numFmtId="0" fontId="27" fillId="0" borderId="32" xfId="0" applyFont="1" applyBorder="1" applyAlignment="1" applyProtection="1">
      <alignment horizontal="center" vertical="center" shrinkToFit="1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31" xfId="0" applyFont="1" applyBorder="1" applyAlignment="1" applyProtection="1">
      <alignment horizontal="center" vertical="center" shrinkToFit="1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67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64" xfId="0" applyFont="1" applyBorder="1" applyAlignment="1" applyProtection="1">
      <alignment horizontal="center" vertical="center"/>
      <protection hidden="1"/>
    </xf>
    <xf numFmtId="0" fontId="27" fillId="0" borderId="42" xfId="0" applyFont="1" applyBorder="1" applyAlignment="1" applyProtection="1">
      <alignment horizontal="center" vertical="center"/>
      <protection hidden="1"/>
    </xf>
    <xf numFmtId="0" fontId="27" fillId="0" borderId="33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8" fillId="8" borderId="17" xfId="0" applyFont="1" applyFill="1" applyBorder="1" applyAlignment="1" applyProtection="1">
      <alignment horizontal="center" vertical="center"/>
      <protection hidden="1"/>
    </xf>
    <xf numFmtId="0" fontId="28" fillId="8" borderId="18" xfId="0" applyFont="1" applyFill="1" applyBorder="1" applyAlignment="1" applyProtection="1">
      <alignment horizontal="center" vertical="center"/>
      <protection hidden="1"/>
    </xf>
    <xf numFmtId="0" fontId="28" fillId="8" borderId="65" xfId="0" applyFont="1" applyFill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68" xfId="0" applyFont="1" applyBorder="1" applyAlignment="1" applyProtection="1">
      <alignment horizontal="center" vertical="center"/>
      <protection hidden="1"/>
    </xf>
    <xf numFmtId="0" fontId="28" fillId="20" borderId="60" xfId="0" applyFont="1" applyFill="1" applyBorder="1" applyAlignment="1" applyProtection="1">
      <alignment horizontal="center" vertical="center"/>
      <protection hidden="1"/>
    </xf>
    <xf numFmtId="0" fontId="28" fillId="20" borderId="61" xfId="0" applyFont="1" applyFill="1" applyBorder="1" applyAlignment="1" applyProtection="1">
      <alignment horizontal="center" vertical="center"/>
      <protection hidden="1"/>
    </xf>
    <xf numFmtId="0" fontId="28" fillId="2" borderId="17" xfId="0" applyFont="1" applyFill="1" applyBorder="1" applyAlignment="1" applyProtection="1">
      <alignment horizontal="center" vertical="center"/>
      <protection hidden="1"/>
    </xf>
    <xf numFmtId="0" fontId="28" fillId="2" borderId="18" xfId="0" applyFont="1" applyFill="1" applyBorder="1" applyAlignment="1" applyProtection="1">
      <alignment horizontal="center" vertical="center"/>
      <protection hidden="1"/>
    </xf>
    <xf numFmtId="0" fontId="28" fillId="2" borderId="65" xfId="0" applyFont="1" applyFill="1" applyBorder="1" applyAlignment="1" applyProtection="1">
      <alignment horizontal="center" vertical="center"/>
      <protection hidden="1"/>
    </xf>
    <xf numFmtId="1" fontId="27" fillId="0" borderId="44" xfId="0" applyNumberFormat="1" applyFont="1" applyBorder="1" applyAlignment="1" applyProtection="1">
      <alignment horizontal="center" vertical="center"/>
      <protection hidden="1"/>
    </xf>
    <xf numFmtId="1" fontId="27" fillId="0" borderId="34" xfId="0" applyNumberFormat="1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172" fontId="27" fillId="0" borderId="35" xfId="0" applyNumberFormat="1" applyFont="1" applyBorder="1" applyAlignment="1" applyProtection="1">
      <alignment horizontal="center" vertical="center"/>
      <protection hidden="1"/>
    </xf>
    <xf numFmtId="172" fontId="27" fillId="0" borderId="47" xfId="0" applyNumberFormat="1" applyFont="1" applyBorder="1" applyAlignment="1" applyProtection="1">
      <alignment horizontal="center" vertical="center"/>
      <protection hidden="1"/>
    </xf>
    <xf numFmtId="172" fontId="27" fillId="0" borderId="29" xfId="0" applyNumberFormat="1" applyFont="1" applyBorder="1" applyAlignment="1" applyProtection="1">
      <alignment horizontal="center" vertical="center"/>
      <protection hidden="1"/>
    </xf>
    <xf numFmtId="172" fontId="27" fillId="0" borderId="66" xfId="0" applyNumberFormat="1" applyFont="1" applyBorder="1" applyAlignment="1" applyProtection="1">
      <alignment horizontal="center" vertical="center"/>
      <protection hidden="1"/>
    </xf>
    <xf numFmtId="172" fontId="27" fillId="0" borderId="31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67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64" xfId="0" applyFont="1" applyBorder="1" applyAlignment="1" applyProtection="1">
      <alignment horizontal="left" vertical="center"/>
      <protection hidden="1"/>
    </xf>
    <xf numFmtId="170" fontId="27" fillId="0" borderId="34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4" borderId="49" xfId="0" applyFont="1" applyFill="1" applyBorder="1" applyAlignment="1" applyProtection="1">
      <alignment horizontal="center" vertical="center"/>
      <protection hidden="1"/>
    </xf>
    <xf numFmtId="0" fontId="28" fillId="4" borderId="17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8" fillId="7" borderId="17" xfId="0" applyFont="1" applyFill="1" applyBorder="1" applyAlignment="1" applyProtection="1">
      <alignment horizontal="center" vertical="center"/>
      <protection hidden="1"/>
    </xf>
    <xf numFmtId="0" fontId="28" fillId="7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left" vertical="center"/>
      <protection hidden="1"/>
    </xf>
    <xf numFmtId="0" fontId="28" fillId="7" borderId="16" xfId="0" applyFont="1" applyFill="1" applyBorder="1" applyAlignment="1" applyProtection="1">
      <alignment horizontal="center" vertical="center"/>
      <protection hidden="1"/>
    </xf>
    <xf numFmtId="0" fontId="25" fillId="8" borderId="50" xfId="0" applyFont="1" applyFill="1" applyBorder="1" applyAlignment="1" applyProtection="1">
      <alignment horizontal="center" vertical="center"/>
      <protection hidden="1"/>
    </xf>
    <xf numFmtId="0" fontId="25" fillId="8" borderId="18" xfId="0" applyFont="1" applyFill="1" applyBorder="1" applyAlignment="1" applyProtection="1">
      <alignment horizontal="center" vertical="center"/>
      <protection hidden="1"/>
    </xf>
    <xf numFmtId="0" fontId="25" fillId="8" borderId="65" xfId="0" applyFont="1" applyFill="1" applyBorder="1" applyAlignment="1" applyProtection="1">
      <alignment horizontal="center" vertical="center"/>
      <protection hidden="1"/>
    </xf>
    <xf numFmtId="0" fontId="28" fillId="2" borderId="50" xfId="0" applyFont="1" applyFill="1" applyBorder="1" applyAlignment="1" applyProtection="1">
      <alignment horizontal="center" vertical="center" shrinkToFit="1"/>
      <protection hidden="1"/>
    </xf>
    <xf numFmtId="0" fontId="28" fillId="2" borderId="18" xfId="0" applyFont="1" applyFill="1" applyBorder="1" applyAlignment="1" applyProtection="1">
      <alignment horizontal="center" vertical="center" shrinkToFit="1"/>
      <protection hidden="1"/>
    </xf>
    <xf numFmtId="0" fontId="27" fillId="0" borderId="40" xfId="0" applyFont="1" applyBorder="1" applyAlignment="1" applyProtection="1">
      <alignment horizontal="center" vertical="center" shrinkToFit="1"/>
      <protection hidden="1"/>
    </xf>
    <xf numFmtId="0" fontId="27" fillId="0" borderId="41" xfId="0" applyFont="1" applyBorder="1" applyAlignment="1" applyProtection="1">
      <alignment horizontal="center" vertical="center" shrinkToFit="1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28" fillId="7" borderId="50" xfId="0" applyFont="1" applyFill="1" applyBorder="1" applyAlignment="1" applyProtection="1">
      <alignment horizontal="center" vertical="center"/>
      <protection hidden="1"/>
    </xf>
    <xf numFmtId="166" fontId="0" fillId="0" borderId="60" xfId="0" applyNumberFormat="1" applyFont="1" applyFill="1" applyBorder="1" applyAlignment="1" applyProtection="1">
      <alignment horizontal="center" vertical="center"/>
      <protection hidden="1"/>
    </xf>
    <xf numFmtId="166" fontId="0" fillId="0" borderId="61" xfId="0" applyNumberFormat="1" applyFont="1" applyFill="1" applyBorder="1" applyAlignment="1" applyProtection="1">
      <alignment horizontal="center" vertical="center"/>
      <protection hidden="1"/>
    </xf>
    <xf numFmtId="166" fontId="0" fillId="0" borderId="55" xfId="0" applyNumberFormat="1" applyFont="1" applyFill="1" applyBorder="1" applyAlignment="1" applyProtection="1">
      <alignment horizontal="center" vertical="center"/>
      <protection hidden="1"/>
    </xf>
    <xf numFmtId="166" fontId="0" fillId="0" borderId="62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57" xfId="0" applyNumberFormat="1" applyFont="1" applyFill="1" applyBorder="1" applyAlignment="1" applyProtection="1">
      <alignment horizontal="center" vertical="center"/>
      <protection hidden="1"/>
    </xf>
    <xf numFmtId="0" fontId="27" fillId="0" borderId="36" xfId="0" applyFont="1" applyFill="1" applyBorder="1" applyAlignment="1" applyProtection="1">
      <alignment horizontal="center" vertical="center"/>
      <protection hidden="1"/>
    </xf>
    <xf numFmtId="0" fontId="28" fillId="20" borderId="59" xfId="0" applyFont="1" applyFill="1" applyBorder="1" applyAlignment="1" applyProtection="1">
      <alignment horizontal="center" vertical="center"/>
      <protection hidden="1"/>
    </xf>
    <xf numFmtId="0" fontId="28" fillId="20" borderId="49" xfId="0" applyFont="1" applyFill="1" applyBorder="1" applyAlignment="1" applyProtection="1">
      <alignment horizontal="center" vertical="center"/>
      <protection hidden="1"/>
    </xf>
    <xf numFmtId="0" fontId="25" fillId="2" borderId="50" xfId="0" applyFont="1" applyFill="1" applyBorder="1" applyAlignment="1" applyProtection="1">
      <alignment horizontal="center" vertical="center"/>
      <protection hidden="1"/>
    </xf>
    <xf numFmtId="0" fontId="25" fillId="2" borderId="18" xfId="0" applyFont="1" applyFill="1" applyBorder="1" applyAlignment="1" applyProtection="1">
      <alignment horizontal="center" vertical="center"/>
      <protection hidden="1"/>
    </xf>
    <xf numFmtId="0" fontId="25" fillId="2" borderId="65" xfId="0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170" fontId="27" fillId="0" borderId="21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7" fillId="0" borderId="41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8" fillId="4" borderId="59" xfId="0" applyFont="1" applyFill="1" applyBorder="1" applyAlignment="1" applyProtection="1">
      <alignment horizontal="center" vertical="center"/>
      <protection hidden="1"/>
    </xf>
    <xf numFmtId="0" fontId="28" fillId="4" borderId="58" xfId="0" applyFont="1" applyFill="1" applyBorder="1" applyAlignment="1" applyProtection="1">
      <alignment horizontal="center" vertical="center"/>
      <protection hidden="1"/>
    </xf>
    <xf numFmtId="0" fontId="28" fillId="4" borderId="18" xfId="0" applyFont="1" applyFill="1" applyBorder="1" applyAlignment="1" applyProtection="1">
      <alignment horizontal="center" vertical="center"/>
      <protection hidden="1"/>
    </xf>
    <xf numFmtId="0" fontId="28" fillId="4" borderId="16" xfId="0" applyFont="1" applyFill="1" applyBorder="1" applyAlignment="1" applyProtection="1">
      <alignment horizontal="center" vertical="center"/>
      <protection hidden="1"/>
    </xf>
    <xf numFmtId="0" fontId="28" fillId="8" borderId="50" xfId="0" applyFont="1" applyFill="1" applyBorder="1" applyAlignment="1" applyProtection="1">
      <alignment horizontal="center" vertical="center" shrinkToFit="1"/>
      <protection hidden="1"/>
    </xf>
    <xf numFmtId="0" fontId="28" fillId="8" borderId="18" xfId="0" applyFont="1" applyFill="1" applyBorder="1" applyAlignment="1" applyProtection="1">
      <alignment horizontal="center" vertical="center" shrinkToFit="1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1" fontId="27" fillId="0" borderId="39" xfId="0" applyNumberFormat="1" applyFont="1" applyBorder="1" applyAlignment="1" applyProtection="1">
      <alignment horizontal="center" vertical="center"/>
      <protection hidden="1"/>
    </xf>
    <xf numFmtId="1" fontId="27" fillId="0" borderId="19" xfId="0" applyNumberFormat="1" applyFont="1" applyBorder="1" applyAlignment="1" applyProtection="1">
      <alignment horizontal="center" vertical="center"/>
      <protection hidden="1"/>
    </xf>
    <xf numFmtId="1" fontId="27" fillId="0" borderId="42" xfId="0" applyNumberFormat="1" applyFont="1" applyBorder="1" applyAlignment="1" applyProtection="1">
      <alignment horizontal="center" vertical="center"/>
      <protection hidden="1"/>
    </xf>
    <xf numFmtId="1" fontId="27" fillId="0" borderId="21" xfId="0" applyNumberFormat="1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28" fillId="8" borderId="16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Border="1" applyAlignment="1" applyProtection="1">
      <alignment horizontal="center" vertical="center" shrinkToFit="1"/>
      <protection hidden="1"/>
    </xf>
    <xf numFmtId="0" fontId="27" fillId="0" borderId="26" xfId="0" applyFont="1" applyBorder="1" applyAlignment="1" applyProtection="1">
      <alignment horizontal="center" vertical="center" shrinkToFit="1"/>
      <protection hidden="1"/>
    </xf>
    <xf numFmtId="0" fontId="27" fillId="0" borderId="34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35" xfId="0" applyFont="1" applyBorder="1" applyAlignment="1" applyProtection="1">
      <alignment horizontal="center" vertical="center" shrinkToFit="1"/>
      <protection hidden="1"/>
    </xf>
    <xf numFmtId="0" fontId="28" fillId="2" borderId="16" xfId="0" applyFont="1" applyFill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42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66" fontId="27" fillId="0" borderId="19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31" xfId="0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19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172" fontId="27" fillId="0" borderId="41" xfId="0" applyNumberFormat="1" applyFont="1" applyBorder="1" applyAlignment="1" applyProtection="1">
      <alignment horizontal="center" vertical="center"/>
      <protection hidden="1"/>
    </xf>
    <xf numFmtId="172" fontId="27" fillId="0" borderId="39" xfId="0" applyNumberFormat="1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68" xfId="0" applyFont="1" applyBorder="1" applyAlignment="1" applyProtection="1">
      <alignment horizontal="left" vertical="center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2" fillId="0" borderId="61" xfId="0" applyFont="1" applyBorder="1" applyAlignment="1" applyProtection="1">
      <alignment horizontal="center" vertical="center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0" fillId="4" borderId="50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4" borderId="65" xfId="0" applyFill="1" applyBorder="1" applyAlignment="1" applyProtection="1">
      <alignment horizontal="center" vertical="center"/>
      <protection hidden="1"/>
    </xf>
    <xf numFmtId="0" fontId="27" fillId="8" borderId="23" xfId="0" applyFont="1" applyFill="1" applyBorder="1" applyAlignment="1" applyProtection="1">
      <alignment horizontal="center" textRotation="90" shrinkToFit="1"/>
      <protection hidden="1"/>
    </xf>
    <xf numFmtId="0" fontId="27" fillId="8" borderId="25" xfId="0" applyFont="1" applyFill="1" applyBorder="1" applyAlignment="1" applyProtection="1">
      <alignment horizontal="center" textRotation="90" shrinkToFit="1"/>
      <protection hidden="1"/>
    </xf>
    <xf numFmtId="0" fontId="27" fillId="8" borderId="20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</xdr:row>
      <xdr:rowOff>57150</xdr:rowOff>
    </xdr:from>
    <xdr:to>
      <xdr:col>51</xdr:col>
      <xdr:colOff>114300</xdr:colOff>
      <xdr:row>8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0482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RowColHeaders="0" tabSelected="1" zoomScale="125" zoomScaleNormal="125" zoomScalePageLayoutView="0" workbookViewId="0" topLeftCell="A69">
      <selection activeCell="BD81" sqref="BD81:BG81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346" t="s">
        <v>64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356" t="s">
        <v>56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W3" s="366" t="s">
        <v>0</v>
      </c>
      <c r="AX3" s="366"/>
      <c r="AY3" s="366"/>
      <c r="AZ3" s="366"/>
      <c r="BA3" s="366"/>
      <c r="BB3" s="366"/>
      <c r="BC3" s="366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57" t="s">
        <v>57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48">
        <v>42015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47" t="s">
        <v>55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53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233" t="s">
        <v>51</v>
      </c>
      <c r="C11" s="233"/>
      <c r="D11" s="233"/>
      <c r="E11" s="233"/>
      <c r="F11" s="233"/>
      <c r="G11" s="233"/>
      <c r="H11" s="300">
        <v>0.4791666666666667</v>
      </c>
      <c r="I11" s="300"/>
      <c r="J11" s="300"/>
      <c r="K11" s="300"/>
      <c r="L11" s="33" t="s">
        <v>1</v>
      </c>
      <c r="T11" s="42" t="s">
        <v>2</v>
      </c>
      <c r="U11" s="312">
        <v>1</v>
      </c>
      <c r="V11" s="312"/>
      <c r="W11" s="43" t="s">
        <v>3</v>
      </c>
      <c r="X11" s="311">
        <v>15</v>
      </c>
      <c r="Y11" s="311"/>
      <c r="Z11" s="311"/>
      <c r="AA11" s="311"/>
      <c r="AB11" s="311"/>
      <c r="AC11" s="313">
        <f>IF(U11=2,"Halbzeit:","")</f>
      </c>
      <c r="AD11" s="313"/>
      <c r="AE11" s="313"/>
      <c r="AF11" s="313"/>
      <c r="AG11" s="313"/>
      <c r="AH11" s="313"/>
      <c r="AI11" s="311"/>
      <c r="AJ11" s="311"/>
      <c r="AK11" s="311"/>
      <c r="AL11" s="311"/>
      <c r="AM11" s="311"/>
      <c r="AN11" s="233" t="s">
        <v>4</v>
      </c>
      <c r="AO11" s="233"/>
      <c r="AP11" s="233"/>
      <c r="AQ11" s="233"/>
      <c r="AR11" s="233"/>
      <c r="AS11" s="233"/>
      <c r="AT11" s="233"/>
      <c r="AU11" s="233"/>
      <c r="AV11" s="233"/>
      <c r="AW11" s="309">
        <v>3</v>
      </c>
      <c r="AX11" s="309"/>
      <c r="AY11" s="309"/>
      <c r="AZ11" s="309"/>
      <c r="BA11" s="309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26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233" t="s">
        <v>51</v>
      </c>
      <c r="C14" s="233"/>
      <c r="D14" s="233"/>
      <c r="E14" s="233"/>
      <c r="F14" s="233"/>
      <c r="G14" s="233"/>
      <c r="H14" s="300">
        <f>G47+TEXT(2*$U$11*($X$11/1440)+($AI$11/1440)+($AW$11/1440),"hh:mm")</f>
        <v>0.7395833333333326</v>
      </c>
      <c r="I14" s="300"/>
      <c r="J14" s="300"/>
      <c r="K14" s="300"/>
      <c r="L14" s="33" t="s">
        <v>1</v>
      </c>
      <c r="M14" s="33"/>
      <c r="N14" s="33"/>
      <c r="O14" s="33"/>
      <c r="P14" s="33"/>
      <c r="Q14" s="33"/>
      <c r="R14" s="33"/>
      <c r="S14" s="33"/>
      <c r="T14" s="42" t="s">
        <v>2</v>
      </c>
      <c r="U14" s="312">
        <f>U11</f>
        <v>1</v>
      </c>
      <c r="V14" s="312"/>
      <c r="W14" s="43" t="s">
        <v>3</v>
      </c>
      <c r="X14" s="311">
        <f>X11</f>
        <v>15</v>
      </c>
      <c r="Y14" s="311"/>
      <c r="Z14" s="311"/>
      <c r="AA14" s="311"/>
      <c r="AB14" s="311"/>
      <c r="AC14" s="313">
        <f>IF(U14=2,"Halbzeit:","")</f>
      </c>
      <c r="AD14" s="313"/>
      <c r="AE14" s="313"/>
      <c r="AF14" s="313"/>
      <c r="AG14" s="313"/>
      <c r="AH14" s="313"/>
      <c r="AI14" s="370">
        <f>AI11</f>
        <v>0</v>
      </c>
      <c r="AJ14" s="370"/>
      <c r="AK14" s="370"/>
      <c r="AL14" s="370"/>
      <c r="AM14" s="370"/>
      <c r="AN14" s="33"/>
      <c r="AO14" s="233" t="s">
        <v>4</v>
      </c>
      <c r="AP14" s="233"/>
      <c r="AQ14" s="233"/>
      <c r="AR14" s="233"/>
      <c r="AS14" s="233"/>
      <c r="AT14" s="233"/>
      <c r="AU14" s="233"/>
      <c r="AV14" s="233"/>
      <c r="AW14" s="309">
        <f>AW11</f>
        <v>3</v>
      </c>
      <c r="AX14" s="309"/>
      <c r="AY14" s="309"/>
      <c r="AZ14" s="309"/>
      <c r="BA14" s="309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5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304" t="s">
        <v>6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305"/>
      <c r="AA18" s="362" t="s">
        <v>7</v>
      </c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338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353" t="s">
        <v>58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5"/>
      <c r="Z19" s="110">
        <v>1</v>
      </c>
      <c r="AA19" s="353" t="s">
        <v>56</v>
      </c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5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301" t="s">
        <v>60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3"/>
      <c r="W20" s="149"/>
      <c r="Z20" s="110">
        <v>2</v>
      </c>
      <c r="AA20" s="301" t="s">
        <v>65</v>
      </c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3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 thickBot="1">
      <c r="A21" s="110">
        <v>3</v>
      </c>
      <c r="B21" s="306" t="s">
        <v>63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8"/>
      <c r="W21" s="149" t="s">
        <v>48</v>
      </c>
      <c r="Z21" s="110">
        <v>3</v>
      </c>
      <c r="AA21" s="301" t="s">
        <v>66</v>
      </c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3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10">
        <v>4</v>
      </c>
      <c r="B22" s="301" t="s">
        <v>62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3"/>
      <c r="W22" s="149" t="s">
        <v>49</v>
      </c>
      <c r="Z22" s="110">
        <v>4</v>
      </c>
      <c r="AA22" s="301" t="s">
        <v>61</v>
      </c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3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306" t="s">
        <v>59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  <c r="W23" s="149" t="s">
        <v>50</v>
      </c>
      <c r="Z23" s="110">
        <v>5</v>
      </c>
      <c r="AA23" s="306" t="s">
        <v>67</v>
      </c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8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8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342" t="s">
        <v>9</v>
      </c>
      <c r="C27" s="343"/>
      <c r="D27" s="168" t="s">
        <v>10</v>
      </c>
      <c r="E27" s="169"/>
      <c r="F27" s="170"/>
      <c r="G27" s="168" t="s">
        <v>52</v>
      </c>
      <c r="H27" s="169"/>
      <c r="I27" s="169"/>
      <c r="J27" s="170"/>
      <c r="K27" s="168" t="s">
        <v>11</v>
      </c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70"/>
      <c r="BB27" s="336" t="s">
        <v>12</v>
      </c>
      <c r="BC27" s="337"/>
      <c r="BD27" s="337"/>
      <c r="BE27" s="337"/>
      <c r="BF27" s="337"/>
      <c r="BG27" s="134"/>
      <c r="BH27" s="36"/>
      <c r="BI27" s="36"/>
    </row>
    <row r="28" spans="2:61" s="41" customFormat="1" ht="18" customHeight="1">
      <c r="B28" s="299">
        <v>1</v>
      </c>
      <c r="C28" s="298"/>
      <c r="D28" s="298" t="s">
        <v>13</v>
      </c>
      <c r="E28" s="298"/>
      <c r="F28" s="298"/>
      <c r="G28" s="295">
        <f>$H$11</f>
        <v>0.4791666666666667</v>
      </c>
      <c r="H28" s="296"/>
      <c r="I28" s="296"/>
      <c r="J28" s="297"/>
      <c r="K28" s="352" t="str">
        <f>B23</f>
        <v>SC Verl II</v>
      </c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111" t="s">
        <v>14</v>
      </c>
      <c r="AG28" s="344" t="str">
        <f>B20</f>
        <v>Vikt. Rietberg</v>
      </c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5"/>
      <c r="BB28" s="273">
        <v>2</v>
      </c>
      <c r="BC28" s="274"/>
      <c r="BD28" s="274"/>
      <c r="BE28" s="310">
        <v>2</v>
      </c>
      <c r="BF28" s="310"/>
      <c r="BG28" s="135"/>
      <c r="BH28" s="136"/>
      <c r="BI28" s="112"/>
    </row>
    <row r="29" spans="2:61" s="41" customFormat="1" ht="18" customHeight="1">
      <c r="B29" s="241">
        <v>2</v>
      </c>
      <c r="C29" s="217"/>
      <c r="D29" s="217" t="s">
        <v>15</v>
      </c>
      <c r="E29" s="217"/>
      <c r="F29" s="217"/>
      <c r="G29" s="171">
        <f>G28+TEXT($U$11*($X$11/1440)+($AI$11/1440)+($AW$11/1440),"hh:mm")</f>
        <v>0.4916666666666667</v>
      </c>
      <c r="H29" s="172"/>
      <c r="I29" s="172"/>
      <c r="J29" s="173"/>
      <c r="K29" s="174" t="str">
        <f>AA23</f>
        <v>SCC Italia Gütersloh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13" t="s">
        <v>14</v>
      </c>
      <c r="AG29" s="175" t="str">
        <f>AA20</f>
        <v>SCE Gütersloh</v>
      </c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212"/>
      <c r="BB29" s="160">
        <v>1</v>
      </c>
      <c r="BC29" s="157"/>
      <c r="BD29" s="157"/>
      <c r="BE29" s="159">
        <v>2</v>
      </c>
      <c r="BF29" s="159"/>
      <c r="BG29" s="135"/>
      <c r="BH29" s="136"/>
      <c r="BI29" s="112"/>
    </row>
    <row r="30" spans="2:61" s="41" customFormat="1" ht="18" customHeight="1">
      <c r="B30" s="241">
        <v>3</v>
      </c>
      <c r="C30" s="217"/>
      <c r="D30" s="217" t="s">
        <v>13</v>
      </c>
      <c r="E30" s="217"/>
      <c r="F30" s="217"/>
      <c r="G30" s="171">
        <f aca="true" t="shared" si="0" ref="G30:G46">G29+TEXT($U$11*($X$11/1440)+($AI$11/1440)+($AW$11/1440),"hh:mm")</f>
        <v>0.5041666666666667</v>
      </c>
      <c r="H30" s="172"/>
      <c r="I30" s="172"/>
      <c r="J30" s="173"/>
      <c r="K30" s="174" t="str">
        <f>B19</f>
        <v>SV Spexard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13" t="s">
        <v>14</v>
      </c>
      <c r="AG30" s="175" t="str">
        <f>B21</f>
        <v>SC Wiedenbrück II</v>
      </c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212"/>
      <c r="BB30" s="160">
        <v>4</v>
      </c>
      <c r="BC30" s="157"/>
      <c r="BD30" s="157"/>
      <c r="BE30" s="159">
        <v>0</v>
      </c>
      <c r="BF30" s="159"/>
      <c r="BG30" s="135"/>
      <c r="BH30" s="136"/>
      <c r="BI30" s="112"/>
    </row>
    <row r="31" spans="2:61" s="41" customFormat="1" ht="18" customHeight="1">
      <c r="B31" s="241">
        <v>4</v>
      </c>
      <c r="C31" s="217"/>
      <c r="D31" s="217" t="s">
        <v>15</v>
      </c>
      <c r="E31" s="217"/>
      <c r="F31" s="217"/>
      <c r="G31" s="171">
        <f t="shared" si="0"/>
        <v>0.5166666666666666</v>
      </c>
      <c r="H31" s="172"/>
      <c r="I31" s="172"/>
      <c r="J31" s="173"/>
      <c r="K31" s="174" t="str">
        <f>AA19</f>
        <v>SV Avenwedde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13" t="s">
        <v>14</v>
      </c>
      <c r="AG31" s="175" t="str">
        <f>AA21</f>
        <v>SC Blankenhagen</v>
      </c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212"/>
      <c r="BB31" s="160">
        <v>4</v>
      </c>
      <c r="BC31" s="157"/>
      <c r="BD31" s="157"/>
      <c r="BE31" s="159">
        <v>0</v>
      </c>
      <c r="BF31" s="159"/>
      <c r="BG31" s="135"/>
      <c r="BH31" s="136"/>
      <c r="BI31" s="112"/>
    </row>
    <row r="32" spans="2:61" s="41" customFormat="1" ht="18" customHeight="1">
      <c r="B32" s="241">
        <v>5</v>
      </c>
      <c r="C32" s="217"/>
      <c r="D32" s="217" t="s">
        <v>13</v>
      </c>
      <c r="E32" s="217"/>
      <c r="F32" s="217"/>
      <c r="G32" s="171">
        <f t="shared" si="0"/>
        <v>0.5291666666666666</v>
      </c>
      <c r="H32" s="172"/>
      <c r="I32" s="172"/>
      <c r="J32" s="173"/>
      <c r="K32" s="174" t="str">
        <f>B20</f>
        <v>Vikt. Rietberg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13" t="s">
        <v>14</v>
      </c>
      <c r="AG32" s="175" t="str">
        <f>B22</f>
        <v>BW 98 Gütersloh</v>
      </c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212"/>
      <c r="BB32" s="160">
        <v>1</v>
      </c>
      <c r="BC32" s="157"/>
      <c r="BD32" s="157"/>
      <c r="BE32" s="159">
        <v>5</v>
      </c>
      <c r="BF32" s="159"/>
      <c r="BG32" s="135"/>
      <c r="BH32" s="136"/>
      <c r="BI32" s="112"/>
    </row>
    <row r="33" spans="2:61" s="41" customFormat="1" ht="18" customHeight="1">
      <c r="B33" s="241">
        <v>6</v>
      </c>
      <c r="C33" s="217"/>
      <c r="D33" s="217" t="s">
        <v>15</v>
      </c>
      <c r="E33" s="217"/>
      <c r="F33" s="217"/>
      <c r="G33" s="171">
        <f t="shared" si="0"/>
        <v>0.5416666666666665</v>
      </c>
      <c r="H33" s="172"/>
      <c r="I33" s="172"/>
      <c r="J33" s="173"/>
      <c r="K33" s="174" t="str">
        <f>AA20</f>
        <v>SCE Gütersloh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13" t="s">
        <v>14</v>
      </c>
      <c r="AG33" s="175" t="str">
        <f>AA22</f>
        <v>TuS Friedrichsdorf</v>
      </c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212"/>
      <c r="BB33" s="160">
        <v>5</v>
      </c>
      <c r="BC33" s="157"/>
      <c r="BD33" s="157"/>
      <c r="BE33" s="159">
        <v>6</v>
      </c>
      <c r="BF33" s="159"/>
      <c r="BG33" s="135"/>
      <c r="BH33" s="136"/>
      <c r="BI33" s="112"/>
    </row>
    <row r="34" spans="2:61" s="41" customFormat="1" ht="18" customHeight="1">
      <c r="B34" s="241">
        <v>7</v>
      </c>
      <c r="C34" s="217"/>
      <c r="D34" s="217" t="s">
        <v>13</v>
      </c>
      <c r="E34" s="217"/>
      <c r="F34" s="217"/>
      <c r="G34" s="171">
        <f t="shared" si="0"/>
        <v>0.5541666666666665</v>
      </c>
      <c r="H34" s="172"/>
      <c r="I34" s="172"/>
      <c r="J34" s="173"/>
      <c r="K34" s="174" t="str">
        <f>B21</f>
        <v>SC Wiedenbrück II</v>
      </c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13" t="s">
        <v>14</v>
      </c>
      <c r="AG34" s="175" t="str">
        <f>B23</f>
        <v>SC Verl II</v>
      </c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212"/>
      <c r="BB34" s="160">
        <v>2</v>
      </c>
      <c r="BC34" s="157"/>
      <c r="BD34" s="157"/>
      <c r="BE34" s="159">
        <v>2</v>
      </c>
      <c r="BF34" s="159"/>
      <c r="BG34" s="135"/>
      <c r="BH34" s="136"/>
      <c r="BI34" s="112"/>
    </row>
    <row r="35" spans="2:61" s="41" customFormat="1" ht="18" customHeight="1">
      <c r="B35" s="241">
        <v>8</v>
      </c>
      <c r="C35" s="217"/>
      <c r="D35" s="217" t="s">
        <v>15</v>
      </c>
      <c r="E35" s="217"/>
      <c r="F35" s="217"/>
      <c r="G35" s="171">
        <f t="shared" si="0"/>
        <v>0.5666666666666664</v>
      </c>
      <c r="H35" s="172"/>
      <c r="I35" s="172"/>
      <c r="J35" s="173"/>
      <c r="K35" s="174" t="str">
        <f>AA21</f>
        <v>SC Blankenhagen</v>
      </c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13" t="s">
        <v>14</v>
      </c>
      <c r="AG35" s="175" t="str">
        <f>AA23</f>
        <v>SCC Italia Gütersloh</v>
      </c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212"/>
      <c r="BB35" s="160">
        <v>1</v>
      </c>
      <c r="BC35" s="157"/>
      <c r="BD35" s="157"/>
      <c r="BE35" s="159">
        <v>4</v>
      </c>
      <c r="BF35" s="159"/>
      <c r="BG35" s="135"/>
      <c r="BH35" s="136"/>
      <c r="BI35" s="112"/>
    </row>
    <row r="36" spans="2:61" s="41" customFormat="1" ht="18" customHeight="1">
      <c r="B36" s="241">
        <v>9</v>
      </c>
      <c r="C36" s="217"/>
      <c r="D36" s="217" t="s">
        <v>13</v>
      </c>
      <c r="E36" s="217"/>
      <c r="F36" s="217"/>
      <c r="G36" s="171">
        <f t="shared" si="0"/>
        <v>0.5791666666666664</v>
      </c>
      <c r="H36" s="172"/>
      <c r="I36" s="172"/>
      <c r="J36" s="173"/>
      <c r="K36" s="174" t="str">
        <f>B22</f>
        <v>BW 98 Gütersloh</v>
      </c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13" t="s">
        <v>14</v>
      </c>
      <c r="AG36" s="175" t="str">
        <f>B19</f>
        <v>SV Spexard</v>
      </c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212"/>
      <c r="BB36" s="160">
        <v>2</v>
      </c>
      <c r="BC36" s="157"/>
      <c r="BD36" s="157"/>
      <c r="BE36" s="159">
        <v>3</v>
      </c>
      <c r="BF36" s="159"/>
      <c r="BG36" s="135"/>
      <c r="BH36" s="136"/>
      <c r="BI36" s="112"/>
    </row>
    <row r="37" spans="2:61" s="41" customFormat="1" ht="18" customHeight="1">
      <c r="B37" s="241">
        <v>10</v>
      </c>
      <c r="C37" s="217"/>
      <c r="D37" s="217" t="s">
        <v>15</v>
      </c>
      <c r="E37" s="217"/>
      <c r="F37" s="217"/>
      <c r="G37" s="171">
        <f t="shared" si="0"/>
        <v>0.5916666666666663</v>
      </c>
      <c r="H37" s="172"/>
      <c r="I37" s="172"/>
      <c r="J37" s="173"/>
      <c r="K37" s="174" t="str">
        <f>AA22</f>
        <v>TuS Friedrichsdorf</v>
      </c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13" t="s">
        <v>14</v>
      </c>
      <c r="AG37" s="175" t="str">
        <f>AA19</f>
        <v>SV Avenwedde</v>
      </c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212"/>
      <c r="BB37" s="160">
        <v>2</v>
      </c>
      <c r="BC37" s="157"/>
      <c r="BD37" s="157"/>
      <c r="BE37" s="159">
        <v>1</v>
      </c>
      <c r="BF37" s="159"/>
      <c r="BG37" s="135"/>
      <c r="BH37" s="136"/>
      <c r="BI37" s="112"/>
    </row>
    <row r="38" spans="2:61" s="41" customFormat="1" ht="18" customHeight="1">
      <c r="B38" s="241">
        <v>11</v>
      </c>
      <c r="C38" s="217"/>
      <c r="D38" s="217" t="s">
        <v>13</v>
      </c>
      <c r="E38" s="217"/>
      <c r="F38" s="217"/>
      <c r="G38" s="171">
        <f t="shared" si="0"/>
        <v>0.6041666666666663</v>
      </c>
      <c r="H38" s="172"/>
      <c r="I38" s="172"/>
      <c r="J38" s="173"/>
      <c r="K38" s="174" t="str">
        <f>B20</f>
        <v>Vikt. Rietberg</v>
      </c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13" t="s">
        <v>14</v>
      </c>
      <c r="AG38" s="175" t="str">
        <f>B21</f>
        <v>SC Wiedenbrück II</v>
      </c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212"/>
      <c r="BB38" s="160">
        <v>1</v>
      </c>
      <c r="BC38" s="157"/>
      <c r="BD38" s="157"/>
      <c r="BE38" s="159">
        <v>1</v>
      </c>
      <c r="BF38" s="159"/>
      <c r="BG38" s="135"/>
      <c r="BH38" s="136"/>
      <c r="BI38" s="112"/>
    </row>
    <row r="39" spans="2:61" s="41" customFormat="1" ht="18" customHeight="1">
      <c r="B39" s="241">
        <v>12</v>
      </c>
      <c r="C39" s="217"/>
      <c r="D39" s="217" t="s">
        <v>15</v>
      </c>
      <c r="E39" s="217"/>
      <c r="F39" s="217"/>
      <c r="G39" s="171">
        <f t="shared" si="0"/>
        <v>0.6166666666666663</v>
      </c>
      <c r="H39" s="172"/>
      <c r="I39" s="172"/>
      <c r="J39" s="173"/>
      <c r="K39" s="174" t="str">
        <f>AA20</f>
        <v>SCE Gütersloh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13" t="s">
        <v>14</v>
      </c>
      <c r="AG39" s="175" t="str">
        <f>AA21</f>
        <v>SC Blankenhagen</v>
      </c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212"/>
      <c r="BB39" s="160">
        <v>4</v>
      </c>
      <c r="BC39" s="157"/>
      <c r="BD39" s="157"/>
      <c r="BE39" s="159">
        <v>2</v>
      </c>
      <c r="BF39" s="159"/>
      <c r="BG39" s="135"/>
      <c r="BH39" s="136"/>
      <c r="BI39" s="112"/>
    </row>
    <row r="40" spans="2:61" s="41" customFormat="1" ht="18" customHeight="1">
      <c r="B40" s="241">
        <v>13</v>
      </c>
      <c r="C40" s="217"/>
      <c r="D40" s="217" t="s">
        <v>13</v>
      </c>
      <c r="E40" s="217"/>
      <c r="F40" s="217"/>
      <c r="G40" s="171">
        <f t="shared" si="0"/>
        <v>0.6291666666666662</v>
      </c>
      <c r="H40" s="172"/>
      <c r="I40" s="172"/>
      <c r="J40" s="173"/>
      <c r="K40" s="174" t="str">
        <f>B22</f>
        <v>BW 98 Gütersloh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13" t="s">
        <v>14</v>
      </c>
      <c r="AG40" s="175" t="str">
        <f>B23</f>
        <v>SC Verl II</v>
      </c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212"/>
      <c r="BB40" s="160">
        <v>1</v>
      </c>
      <c r="BC40" s="157"/>
      <c r="BD40" s="157"/>
      <c r="BE40" s="159">
        <v>0</v>
      </c>
      <c r="BF40" s="159"/>
      <c r="BG40" s="135"/>
      <c r="BH40" s="136"/>
      <c r="BI40" s="112"/>
    </row>
    <row r="41" spans="2:61" s="41" customFormat="1" ht="18" customHeight="1">
      <c r="B41" s="241">
        <v>14</v>
      </c>
      <c r="C41" s="217"/>
      <c r="D41" s="217" t="s">
        <v>15</v>
      </c>
      <c r="E41" s="217"/>
      <c r="F41" s="217"/>
      <c r="G41" s="171">
        <f t="shared" si="0"/>
        <v>0.6416666666666662</v>
      </c>
      <c r="H41" s="172"/>
      <c r="I41" s="172"/>
      <c r="J41" s="173"/>
      <c r="K41" s="174" t="str">
        <f>AA22</f>
        <v>TuS Friedrichsdorf</v>
      </c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13" t="s">
        <v>14</v>
      </c>
      <c r="AG41" s="175" t="str">
        <f>AA23</f>
        <v>SCC Italia Gütersloh</v>
      </c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212"/>
      <c r="BB41" s="160">
        <v>4</v>
      </c>
      <c r="BC41" s="157"/>
      <c r="BD41" s="157"/>
      <c r="BE41" s="159">
        <v>3</v>
      </c>
      <c r="BF41" s="159"/>
      <c r="BG41" s="135"/>
      <c r="BH41" s="136"/>
      <c r="BI41" s="112"/>
    </row>
    <row r="42" spans="2:61" s="41" customFormat="1" ht="18" customHeight="1">
      <c r="B42" s="241">
        <v>15</v>
      </c>
      <c r="C42" s="217"/>
      <c r="D42" s="217" t="s">
        <v>13</v>
      </c>
      <c r="E42" s="217"/>
      <c r="F42" s="217"/>
      <c r="G42" s="171">
        <f t="shared" si="0"/>
        <v>0.6541666666666661</v>
      </c>
      <c r="H42" s="172"/>
      <c r="I42" s="172"/>
      <c r="J42" s="173"/>
      <c r="K42" s="174" t="str">
        <f>B19</f>
        <v>SV Spexard</v>
      </c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13" t="s">
        <v>14</v>
      </c>
      <c r="AG42" s="175" t="str">
        <f>B20</f>
        <v>Vikt. Rietberg</v>
      </c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212"/>
      <c r="BB42" s="160">
        <v>1</v>
      </c>
      <c r="BC42" s="157"/>
      <c r="BD42" s="157"/>
      <c r="BE42" s="159">
        <v>1</v>
      </c>
      <c r="BF42" s="159"/>
      <c r="BG42" s="135"/>
      <c r="BH42" s="136"/>
      <c r="BI42" s="112"/>
    </row>
    <row r="43" spans="2:61" s="41" customFormat="1" ht="18" customHeight="1">
      <c r="B43" s="241">
        <v>16</v>
      </c>
      <c r="C43" s="217"/>
      <c r="D43" s="217" t="s">
        <v>15</v>
      </c>
      <c r="E43" s="217"/>
      <c r="F43" s="217"/>
      <c r="G43" s="171">
        <f t="shared" si="0"/>
        <v>0.6666666666666661</v>
      </c>
      <c r="H43" s="172"/>
      <c r="I43" s="172"/>
      <c r="J43" s="173"/>
      <c r="K43" s="174" t="str">
        <f>AA19</f>
        <v>SV Avenwedde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13" t="s">
        <v>14</v>
      </c>
      <c r="AG43" s="175" t="str">
        <f>AA20</f>
        <v>SCE Gütersloh</v>
      </c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212"/>
      <c r="BB43" s="160">
        <v>4</v>
      </c>
      <c r="BC43" s="157"/>
      <c r="BD43" s="157"/>
      <c r="BE43" s="159">
        <v>0</v>
      </c>
      <c r="BF43" s="159"/>
      <c r="BG43" s="135"/>
      <c r="BH43" s="136"/>
      <c r="BI43" s="112"/>
    </row>
    <row r="44" spans="2:61" s="41" customFormat="1" ht="18" customHeight="1">
      <c r="B44" s="241">
        <v>17</v>
      </c>
      <c r="C44" s="217"/>
      <c r="D44" s="217" t="s">
        <v>13</v>
      </c>
      <c r="E44" s="217"/>
      <c r="F44" s="217"/>
      <c r="G44" s="171">
        <f t="shared" si="0"/>
        <v>0.679166666666666</v>
      </c>
      <c r="H44" s="172"/>
      <c r="I44" s="172"/>
      <c r="J44" s="173"/>
      <c r="K44" s="174" t="str">
        <f>B21</f>
        <v>SC Wiedenbrück II</v>
      </c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13" t="s">
        <v>14</v>
      </c>
      <c r="AG44" s="175" t="str">
        <f>B22</f>
        <v>BW 98 Gütersloh</v>
      </c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212"/>
      <c r="BB44" s="160">
        <v>1</v>
      </c>
      <c r="BC44" s="157"/>
      <c r="BD44" s="157"/>
      <c r="BE44" s="159">
        <v>0</v>
      </c>
      <c r="BF44" s="159"/>
      <c r="BG44" s="135"/>
      <c r="BH44" s="136"/>
      <c r="BI44" s="112"/>
    </row>
    <row r="45" spans="2:61" s="41" customFormat="1" ht="18" customHeight="1">
      <c r="B45" s="241">
        <v>18</v>
      </c>
      <c r="C45" s="217"/>
      <c r="D45" s="217" t="s">
        <v>15</v>
      </c>
      <c r="E45" s="217"/>
      <c r="F45" s="217"/>
      <c r="G45" s="171">
        <f t="shared" si="0"/>
        <v>0.691666666666666</v>
      </c>
      <c r="H45" s="172"/>
      <c r="I45" s="172"/>
      <c r="J45" s="173"/>
      <c r="K45" s="174" t="str">
        <f>AA21</f>
        <v>SC Blankenhagen</v>
      </c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13" t="s">
        <v>14</v>
      </c>
      <c r="AG45" s="175" t="str">
        <f>AA22</f>
        <v>TuS Friedrichsdorf</v>
      </c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212"/>
      <c r="BB45" s="160">
        <v>0</v>
      </c>
      <c r="BC45" s="157"/>
      <c r="BD45" s="157"/>
      <c r="BE45" s="159">
        <v>3</v>
      </c>
      <c r="BF45" s="159"/>
      <c r="BG45" s="135"/>
      <c r="BH45" s="136"/>
      <c r="BI45" s="112"/>
    </row>
    <row r="46" spans="2:61" s="41" customFormat="1" ht="18" customHeight="1">
      <c r="B46" s="241">
        <v>19</v>
      </c>
      <c r="C46" s="217"/>
      <c r="D46" s="217" t="s">
        <v>13</v>
      </c>
      <c r="E46" s="217"/>
      <c r="F46" s="217"/>
      <c r="G46" s="171">
        <f t="shared" si="0"/>
        <v>0.7041666666666659</v>
      </c>
      <c r="H46" s="172"/>
      <c r="I46" s="172"/>
      <c r="J46" s="173"/>
      <c r="K46" s="174" t="str">
        <f>B23</f>
        <v>SC Verl II</v>
      </c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13" t="s">
        <v>14</v>
      </c>
      <c r="AG46" s="175" t="str">
        <f>B19</f>
        <v>SV Spexard</v>
      </c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212"/>
      <c r="BB46" s="160">
        <v>1</v>
      </c>
      <c r="BC46" s="157"/>
      <c r="BD46" s="157"/>
      <c r="BE46" s="159">
        <v>1</v>
      </c>
      <c r="BF46" s="159"/>
      <c r="BG46" s="135"/>
      <c r="BH46" s="136"/>
      <c r="BI46" s="112"/>
    </row>
    <row r="47" spans="2:61" s="41" customFormat="1" ht="18" customHeight="1" thickBot="1">
      <c r="B47" s="294">
        <v>20</v>
      </c>
      <c r="C47" s="275"/>
      <c r="D47" s="275" t="s">
        <v>15</v>
      </c>
      <c r="E47" s="275"/>
      <c r="F47" s="275"/>
      <c r="G47" s="245">
        <f>G46+TEXT($U$11*($X$11/1440)+($AI$11/1440)+($AW$11/1440),"hh:mm")</f>
        <v>0.7166666666666659</v>
      </c>
      <c r="H47" s="246"/>
      <c r="I47" s="246"/>
      <c r="J47" s="247"/>
      <c r="K47" s="268" t="str">
        <f>AA23</f>
        <v>SCC Italia Gütersloh</v>
      </c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120" t="s">
        <v>14</v>
      </c>
      <c r="AG47" s="213" t="str">
        <f>AA19</f>
        <v>SV Avenwedde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4"/>
      <c r="BB47" s="200">
        <v>0</v>
      </c>
      <c r="BC47" s="201"/>
      <c r="BD47" s="201"/>
      <c r="BE47" s="202">
        <v>1</v>
      </c>
      <c r="BF47" s="202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54</v>
      </c>
      <c r="AG49" s="349" t="str">
        <f>L57</f>
        <v>SV Spexard</v>
      </c>
      <c r="AH49" s="206"/>
      <c r="AI49" s="206"/>
      <c r="AJ49" s="206" t="str">
        <f>L58</f>
        <v>BW 98 Gütersloh</v>
      </c>
      <c r="AK49" s="206"/>
      <c r="AL49" s="206"/>
      <c r="AM49" s="206" t="str">
        <f>L59</f>
        <v>SC Wiedenbrück II</v>
      </c>
      <c r="AN49" s="206"/>
      <c r="AO49" s="206"/>
      <c r="AP49" s="206" t="str">
        <f>L60</f>
        <v>SC Verl II</v>
      </c>
      <c r="AQ49" s="206"/>
      <c r="AR49" s="206"/>
      <c r="AS49" s="206" t="str">
        <f>L61</f>
        <v>Vikt. Rietberg</v>
      </c>
      <c r="AT49" s="206"/>
      <c r="AU49" s="209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350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10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350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10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350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10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350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10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350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10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263" t="s">
        <v>16</v>
      </c>
      <c r="C55" s="263"/>
      <c r="D55" s="263"/>
      <c r="E55" s="263"/>
      <c r="F55" s="263"/>
      <c r="G55" s="263"/>
      <c r="H55" s="263"/>
      <c r="AG55" s="350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10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49" t="s">
        <v>17</v>
      </c>
      <c r="C56" s="249"/>
      <c r="D56" s="249"/>
      <c r="E56" s="249"/>
      <c r="F56" s="249" t="s">
        <v>18</v>
      </c>
      <c r="G56" s="249"/>
      <c r="H56" s="249"/>
      <c r="I56" s="33"/>
      <c r="J56" s="255" t="str">
        <f>IF(' '!K9=0,"Gruppe A",IF(' '!A9&lt;&gt;' '!K9,"es liegen nicht alle Ergebnisse vor","Gruppe A"))</f>
        <v>Gruppe A</v>
      </c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351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11"/>
      <c r="AV56" s="155" t="s">
        <v>19</v>
      </c>
      <c r="AW56" s="153"/>
      <c r="AX56" s="154" t="s">
        <v>20</v>
      </c>
      <c r="AY56" s="153"/>
      <c r="AZ56" s="154" t="s">
        <v>21</v>
      </c>
      <c r="BA56" s="153"/>
      <c r="BB56" s="154" t="s">
        <v>22</v>
      </c>
      <c r="BC56" s="153"/>
      <c r="BD56" s="154" t="s">
        <v>23</v>
      </c>
      <c r="BE56" s="155"/>
      <c r="BF56" s="155"/>
      <c r="BG56" s="155"/>
      <c r="BH56" s="153"/>
      <c r="BI56" s="154" t="s">
        <v>24</v>
      </c>
      <c r="BJ56" s="155"/>
      <c r="BK56" s="155"/>
      <c r="BL56" s="154" t="s">
        <v>25</v>
      </c>
      <c r="BM56" s="155"/>
      <c r="BN56" s="305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203"/>
      <c r="C57" s="203"/>
      <c r="D57" s="203"/>
      <c r="E57" s="203"/>
      <c r="F57" s="203"/>
      <c r="G57" s="203"/>
      <c r="H57" s="203"/>
      <c r="J57" s="269">
        <f>IF(' '!$K$9=0,"",1)</f>
        <v>1</v>
      </c>
      <c r="K57" s="270"/>
      <c r="L57" s="261" t="str">
        <f>IF(' '!$K$9=0,B19,VLOOKUP(' '!A4,' '!$B$4:$N$8,4,0))</f>
        <v>SV Spexard</v>
      </c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15"/>
      <c r="AH57" s="215"/>
      <c r="AI57" s="216"/>
      <c r="AJ57" s="191" t="str">
        <f>IF(AND(L57&amp;$AJ$49=VLOOKUP(L57&amp;$AJ$49,' '!$C$21:$G$60,1,0),VLOOKUP(L57&amp;$AJ$49,' '!$C$21:$G$60,4,0)&lt;&gt;""),VLOOKUP(L57&amp;$AJ$49,' '!$C$21:$G$60,4,0),VLOOKUP(L57&amp;$AJ$49,' '!$C$21:$G$60,5,0))</f>
        <v>3:2</v>
      </c>
      <c r="AK57" s="192"/>
      <c r="AL57" s="193"/>
      <c r="AM57" s="191" t="str">
        <f>IF(AND(L57&amp;$AM$49=VLOOKUP(L57&amp;$AM$49,' '!$C$21:$G$60,1,0),VLOOKUP(L57&amp;$AM$49,' '!$C$21:$G$60,4,0)&lt;&gt;""),VLOOKUP(L57&amp;$AM$49,' '!$C$21:$G$60,4,0),VLOOKUP(L57&amp;$AM$49,' '!$C$21:$G$60,5,0))</f>
        <v>4:0</v>
      </c>
      <c r="AN57" s="192"/>
      <c r="AO57" s="193"/>
      <c r="AP57" s="191" t="str">
        <f>IF(AND(L57&amp;$AP$49=VLOOKUP(L57&amp;$AP$49,' '!$C$21:$G$60,1,0),VLOOKUP(L57&amp;$AP$49,' '!$C$21:$G$60,4,0)&lt;&gt;""),VLOOKUP(L57&amp;$AP$49,' '!$C$21:$G$60,4,0),VLOOKUP(L57&amp;$AP$49,' '!$C$21:$G$60,5,0))</f>
        <v>1:1</v>
      </c>
      <c r="AQ57" s="192"/>
      <c r="AR57" s="193"/>
      <c r="AS57" s="178" t="str">
        <f>IF(AND(L57&amp;$AS$49=VLOOKUP(L57&amp;$AS$49,' '!$C$21:$G$60,1,0),VLOOKUP(L57&amp;$AS$49,' '!$C$21:$G$60,4,0)&lt;&gt;""),VLOOKUP(L57&amp;$AS$49,' '!$C$21:$G$60,4,0),VLOOKUP(L57&amp;$AS$49,' '!$C$21:$G$60,5,0))</f>
        <v>1:1</v>
      </c>
      <c r="AT57" s="179"/>
      <c r="AU57" s="179"/>
      <c r="AV57" s="165">
        <f>IF(' '!$K$9=0,"",VLOOKUP(' '!A4,' '!$B$4:$N$8,10,0))</f>
        <v>4</v>
      </c>
      <c r="AW57" s="166"/>
      <c r="AX57" s="194">
        <f>IF(' '!$K$9=0,"",VLOOKUP(' '!A4,' '!$B$4:$N$8,11,0))</f>
        <v>2</v>
      </c>
      <c r="AY57" s="194"/>
      <c r="AZ57" s="194">
        <f>IF(' '!$K$9=0,"",VLOOKUP(' '!A4,' '!$B$4:$N$8,12,0))</f>
        <v>2</v>
      </c>
      <c r="BA57" s="194"/>
      <c r="BB57" s="194">
        <f>IF(' '!$K$9=0,"",VLOOKUP(' '!A4,' '!$B$4:$N$8,13,0))</f>
        <v>0</v>
      </c>
      <c r="BC57" s="194"/>
      <c r="BD57" s="222">
        <f>IF(' '!$K$9=0,"",VLOOKUP(' '!A4,' '!$B$4:$N$8,5,0))</f>
        <v>9</v>
      </c>
      <c r="BE57" s="223"/>
      <c r="BF57" s="114" t="str">
        <f>IF(' '!$K$9=0,"",":")</f>
        <v>:</v>
      </c>
      <c r="BG57" s="221">
        <f>IF(' '!$K$9=0,"",VLOOKUP(' '!A4,' '!$B$4:$N$8,6,0))</f>
        <v>4</v>
      </c>
      <c r="BH57" s="222"/>
      <c r="BI57" s="219">
        <f>IF(' '!$K$9=0,"",BD57-BG57)</f>
        <v>5</v>
      </c>
      <c r="BJ57" s="219"/>
      <c r="BK57" s="220"/>
      <c r="BL57" s="339">
        <f>IF(' '!$K$9=0,"",VLOOKUP(' '!A4,' '!$B$4:$N$8,7,0))</f>
        <v>8</v>
      </c>
      <c r="BM57" s="340"/>
      <c r="BN57" s="341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203"/>
      <c r="C58" s="203"/>
      <c r="D58" s="203"/>
      <c r="E58" s="203"/>
      <c r="F58" s="203"/>
      <c r="G58" s="203"/>
      <c r="H58" s="203"/>
      <c r="J58" s="266">
        <f>IF(' '!$K$9=0,"",IF(VLOOKUP(' '!A5,' '!$B$4:$D$8,3,0)=MAX(J$57:J57),"",' '!A5))</f>
        <v>2</v>
      </c>
      <c r="K58" s="267"/>
      <c r="L58" s="227" t="str">
        <f>IF(' '!$K$9=0,B20,VLOOKUP(' '!A5,' '!$B$4:$N$8,4,0))</f>
        <v>BW 98 Gütersloh</v>
      </c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187" t="str">
        <f>IF(AND(L58&amp;$AG$49=VLOOKUP(L58&amp;$AG$49,' '!$C$21:$G$60,1,0),VLOOKUP(L58&amp;$AG$49,' '!$C$21:$G$60,4,0)&lt;&gt;""),VLOOKUP(L58&amp;$AG$49,' '!$C$21:$G$60,4,0),VLOOKUP(L58&amp;$AG$49,' '!$C$21:$G$60,5,0))</f>
        <v>2:3</v>
      </c>
      <c r="AH58" s="187"/>
      <c r="AI58" s="229"/>
      <c r="AJ58" s="183"/>
      <c r="AK58" s="184"/>
      <c r="AL58" s="185"/>
      <c r="AM58" s="188" t="str">
        <f>IF(AND(L58&amp;$AM$49=VLOOKUP(L58&amp;$AM$49,' '!$C$21:$G$60,1,0),VLOOKUP(L58&amp;$AM$49,' '!$C$21:$G$60,4,0)&lt;&gt;""),VLOOKUP(L58&amp;$AM$49,' '!$C$21:$G$60,4,0),VLOOKUP(L58&amp;$AM$49,' '!$C$21:$G$60,5,0))</f>
        <v>0:1</v>
      </c>
      <c r="AN58" s="189"/>
      <c r="AO58" s="190"/>
      <c r="AP58" s="188" t="str">
        <f>IF(AND(L58&amp;$AP$49=VLOOKUP(L58&amp;$AP$49,' '!$C$21:$G$60,1,0),VLOOKUP(L58&amp;$AP$49,' '!$C$21:$G$60,4,0)&lt;&gt;""),VLOOKUP(L58&amp;$AP$49,' '!$C$21:$G$60,4,0),VLOOKUP(L58&amp;$AP$49,' '!$C$21:$G$60,5,0))</f>
        <v>1:0</v>
      </c>
      <c r="AQ58" s="189"/>
      <c r="AR58" s="190"/>
      <c r="AS58" s="186" t="str">
        <f>IF(AND(L58&amp;$AS$49=VLOOKUP(L58&amp;$AS$49,' '!$C$21:$G$60,1,0),VLOOKUP(L58&amp;$AS$49,' '!$C$21:$G$60,4,0)&lt;&gt;""),VLOOKUP(L58&amp;$AS$49,' '!$C$21:$G$60,4,0),VLOOKUP(L58&amp;$AS$49,' '!$C$21:$G$60,5,0))</f>
        <v>5:1</v>
      </c>
      <c r="AT58" s="187"/>
      <c r="AU58" s="187"/>
      <c r="AV58" s="195">
        <f>IF(' '!$K$9=0,"",VLOOKUP(' '!A5,' '!$B$4:$N$8,10,0))</f>
        <v>4</v>
      </c>
      <c r="AW58" s="196"/>
      <c r="AX58" s="194">
        <f>IF(' '!$K$9=0,"",VLOOKUP(' '!A5,' '!$B$4:$N$8,11,0))</f>
        <v>2</v>
      </c>
      <c r="AY58" s="194"/>
      <c r="AZ58" s="194">
        <f>IF(' '!$K$9=0,"",VLOOKUP(' '!A5,' '!$B$4:$N$8,12,0))</f>
        <v>0</v>
      </c>
      <c r="BA58" s="194"/>
      <c r="BB58" s="194">
        <f>IF(' '!$K$9=0,"",VLOOKUP(' '!A5,' '!$B$4:$N$8,13,0))</f>
        <v>2</v>
      </c>
      <c r="BC58" s="194"/>
      <c r="BD58" s="204">
        <f>IF(' '!$K$9=0,"",VLOOKUP(' '!A5,' '!$B$4:$N$8,5,0))</f>
        <v>8</v>
      </c>
      <c r="BE58" s="205"/>
      <c r="BF58" s="115" t="str">
        <f>IF(' '!$K$9=0,"",":")</f>
        <v>:</v>
      </c>
      <c r="BG58" s="226">
        <f>IF(' '!$K$9=0,"",VLOOKUP(' '!A5,' '!$B$4:$N$8,6,0))</f>
        <v>5</v>
      </c>
      <c r="BH58" s="204"/>
      <c r="BI58" s="219">
        <f>IF(' '!$K$9=0,"",BD58-BG58)</f>
        <v>3</v>
      </c>
      <c r="BJ58" s="219"/>
      <c r="BK58" s="220"/>
      <c r="BL58" s="205">
        <f>IF(' '!$K$9=0,"",VLOOKUP(' '!A5,' '!$B$4:$N$8,7,0))</f>
        <v>6</v>
      </c>
      <c r="BM58" s="318"/>
      <c r="BN58" s="333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203"/>
      <c r="C59" s="203"/>
      <c r="D59" s="203"/>
      <c r="E59" s="203"/>
      <c r="F59" s="203"/>
      <c r="G59" s="203"/>
      <c r="H59" s="203"/>
      <c r="J59" s="266">
        <f>IF(' '!$K$9=0,"",IF(VLOOKUP(' '!A6,' '!$B$4:$D$8,3,0)=MAX(J$57:J58),"",' '!A6))</f>
        <v>3</v>
      </c>
      <c r="K59" s="267"/>
      <c r="L59" s="227" t="str">
        <f>IF(' '!$K$9=0,B21,VLOOKUP(' '!A6,' '!$B$4:$N$8,4,0))</f>
        <v>SC Wiedenbrück II</v>
      </c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187" t="str">
        <f>IF(AND(L59&amp;$AG$49=VLOOKUP(L59&amp;$AG$49,' '!$C$21:$G$60,1,0),VLOOKUP(L59&amp;$AG$49,' '!$C$21:$G$60,4,0)&lt;&gt;""),VLOOKUP(L59&amp;$AG$49,' '!$C$21:$G$60,4,0),VLOOKUP(L59&amp;$AG$49,' '!$C$21:$G$60,5,0))</f>
        <v>0:4</v>
      </c>
      <c r="AH59" s="187"/>
      <c r="AI59" s="229"/>
      <c r="AJ59" s="188" t="str">
        <f>IF(AND(L59&amp;$AJ$49=VLOOKUP(L59&amp;$AJ$49,' '!$C$21:$G$60,1,0),VLOOKUP(L59&amp;$AJ$49,' '!$C$21:$G$60,4,0)&lt;&gt;""),VLOOKUP(L59&amp;$AJ$49,' '!$C$21:$G$60,4,0),VLOOKUP(L59&amp;$AJ$49,' '!$C$21:$G$60,5,0))</f>
        <v>1:0</v>
      </c>
      <c r="AK59" s="189"/>
      <c r="AL59" s="190"/>
      <c r="AM59" s="183"/>
      <c r="AN59" s="184"/>
      <c r="AO59" s="185"/>
      <c r="AP59" s="188" t="str">
        <f>IF(AND(L59&amp;$AP$49=VLOOKUP(L59&amp;$AP$49,' '!$C$21:$G$60,1,0),VLOOKUP(L59&amp;$AP$49,' '!$C$21:$G$60,4,0)&lt;&gt;""),VLOOKUP(L59&amp;$AP$49,' '!$C$21:$G$60,4,0),VLOOKUP(L59&amp;$AP$49,' '!$C$21:$G$60,5,0))</f>
        <v>2:2</v>
      </c>
      <c r="AQ59" s="189"/>
      <c r="AR59" s="190"/>
      <c r="AS59" s="186" t="str">
        <f>IF(AND(L59&amp;$AS$49=VLOOKUP(L59&amp;$AS$49,' '!$C$21:$G$60,1,0),VLOOKUP(L59&amp;$AS$49,' '!$C$21:$G$60,4,0)&lt;&gt;""),VLOOKUP(L59&amp;$AS$49,' '!$C$21:$G$60,4,0),VLOOKUP(L59&amp;$AS$49,' '!$C$21:$G$60,5,0))</f>
        <v>1:1</v>
      </c>
      <c r="AT59" s="187"/>
      <c r="AU59" s="187"/>
      <c r="AV59" s="195">
        <f>IF(' '!$K$9=0,"",VLOOKUP(' '!A6,' '!$B$4:$N$8,10,0))</f>
        <v>4</v>
      </c>
      <c r="AW59" s="196"/>
      <c r="AX59" s="194">
        <f>IF(' '!$K$9=0,"",VLOOKUP(' '!A6,' '!$B$4:$N$8,11,0))</f>
        <v>1</v>
      </c>
      <c r="AY59" s="194"/>
      <c r="AZ59" s="194">
        <f>IF(' '!$K$9=0,"",VLOOKUP(' '!A6,' '!$B$4:$N$8,12,0))</f>
        <v>2</v>
      </c>
      <c r="BA59" s="194"/>
      <c r="BB59" s="194">
        <f>IF(' '!$K$9=0,"",VLOOKUP(' '!A6,' '!$B$4:$N$8,13,0))</f>
        <v>1</v>
      </c>
      <c r="BC59" s="194"/>
      <c r="BD59" s="204">
        <f>IF(' '!$K$9=0,"",VLOOKUP(' '!A6,' '!$B$4:$N$8,5,0))</f>
        <v>4</v>
      </c>
      <c r="BE59" s="205"/>
      <c r="BF59" s="115" t="str">
        <f>IF(' '!$K$9=0,"",":")</f>
        <v>:</v>
      </c>
      <c r="BG59" s="226">
        <f>IF(' '!$K$9=0,"",VLOOKUP(' '!A6,' '!$B$4:$N$8,6,0))</f>
        <v>7</v>
      </c>
      <c r="BH59" s="204"/>
      <c r="BI59" s="219">
        <f>IF(' '!$K$9=0,"",BD59-BG59)</f>
        <v>-3</v>
      </c>
      <c r="BJ59" s="219"/>
      <c r="BK59" s="220"/>
      <c r="BL59" s="205">
        <f>IF(' '!$K$9=0,"",VLOOKUP(' '!A6,' '!$B$4:$N$8,7,0))</f>
        <v>5</v>
      </c>
      <c r="BM59" s="318"/>
      <c r="BN59" s="333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203"/>
      <c r="C60" s="203"/>
      <c r="D60" s="203"/>
      <c r="E60" s="203"/>
      <c r="F60" s="203"/>
      <c r="G60" s="203"/>
      <c r="H60" s="203"/>
      <c r="J60" s="266">
        <f>IF(' '!$K$9=0,"",IF(VLOOKUP(' '!A7,' '!$B$4:$D$8,3,0)=MAX(J$57:J59),"",' '!A7))</f>
        <v>4</v>
      </c>
      <c r="K60" s="267"/>
      <c r="L60" s="227" t="str">
        <f>IF(' '!$K$9=0,B22,VLOOKUP(' '!A7,' '!$B$4:$N$8,4,0))</f>
        <v>SC Verl II</v>
      </c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187" t="str">
        <f>IF(AND(L60&amp;$AG$49=VLOOKUP(L60&amp;$AG$49,' '!$C$21:$G$60,1,0),VLOOKUP(L60&amp;$AG$49,' '!$C$21:$G$60,4,0)&lt;&gt;""),VLOOKUP(L60&amp;$AG$49,' '!$C$21:$G$60,4,0),VLOOKUP(L60&amp;$AG$49,' '!$C$21:$G$60,5,0))</f>
        <v>1:1</v>
      </c>
      <c r="AH60" s="187"/>
      <c r="AI60" s="229"/>
      <c r="AJ60" s="188" t="str">
        <f>IF(AND(L60&amp;$AJ$49=VLOOKUP(L60&amp;$AJ$49,' '!$C$21:$G$60,1,0),VLOOKUP(L60&amp;$AJ$49,' '!$C$21:$G$60,4,0)&lt;&gt;""),VLOOKUP(L60&amp;$AJ$49,' '!$C$21:$G$60,4,0),VLOOKUP(L60&amp;$AJ$49,' '!$C$21:$G$60,5,0))</f>
        <v>0:1</v>
      </c>
      <c r="AK60" s="189"/>
      <c r="AL60" s="190"/>
      <c r="AM60" s="188" t="str">
        <f>IF(AND(L60&amp;$AM$49=VLOOKUP(L60&amp;$AM$49,' '!$C$21:$G$60,1,0),VLOOKUP(L60&amp;$AM$49,' '!$C$21:$G$60,4,0)&lt;&gt;""),VLOOKUP(L60&amp;$AM$49,' '!$C$21:$G$60,4,0),VLOOKUP(L60&amp;$AM$49,' '!$C$21:$G$60,5,0))</f>
        <v>2:2</v>
      </c>
      <c r="AN60" s="189"/>
      <c r="AO60" s="190"/>
      <c r="AP60" s="183"/>
      <c r="AQ60" s="184"/>
      <c r="AR60" s="185"/>
      <c r="AS60" s="186" t="str">
        <f>IF(AND(L60&amp;$AS$49=VLOOKUP(L60&amp;$AS$49,' '!$C$21:$G$60,1,0),VLOOKUP(L60&amp;$AS$49,' '!$C$21:$G$60,4,0)&lt;&gt;""),VLOOKUP(L60&amp;$AS$49,' '!$C$21:$G$60,4,0),VLOOKUP(L60&amp;$AS$49,' '!$C$21:$G$60,5,0))</f>
        <v>2:2</v>
      </c>
      <c r="AT60" s="187"/>
      <c r="AU60" s="187"/>
      <c r="AV60" s="195">
        <f>IF(' '!$K$9=0,"",VLOOKUP(' '!A7,' '!$B$4:$N$8,10,0))</f>
        <v>4</v>
      </c>
      <c r="AW60" s="196"/>
      <c r="AX60" s="194">
        <f>IF(' '!$K$9=0,"",VLOOKUP(' '!A7,' '!$B$4:$N$8,11,0))</f>
        <v>0</v>
      </c>
      <c r="AY60" s="194"/>
      <c r="AZ60" s="194">
        <f>IF(' '!$K$9=0,"",VLOOKUP(' '!A7,' '!$B$4:$N$8,12,0))</f>
        <v>3</v>
      </c>
      <c r="BA60" s="194"/>
      <c r="BB60" s="194">
        <f>IF(' '!$K$9=0,"",VLOOKUP(' '!A7,' '!$B$4:$N$8,13,0))</f>
        <v>1</v>
      </c>
      <c r="BC60" s="194"/>
      <c r="BD60" s="204">
        <f>IF(' '!$K$9=0,"",VLOOKUP(' '!A7,' '!$B$4:$N$8,5,0))</f>
        <v>5</v>
      </c>
      <c r="BE60" s="205"/>
      <c r="BF60" s="115" t="str">
        <f>IF(' '!$K$9=0,"",":")</f>
        <v>:</v>
      </c>
      <c r="BG60" s="226">
        <f>IF(' '!$K$9=0,"",VLOOKUP(' '!A7,' '!$B$4:$N$8,6,0))</f>
        <v>6</v>
      </c>
      <c r="BH60" s="204"/>
      <c r="BI60" s="219">
        <f>IF(' '!$K$9=0,"",BD60-BG60)</f>
        <v>-1</v>
      </c>
      <c r="BJ60" s="219"/>
      <c r="BK60" s="220"/>
      <c r="BL60" s="205">
        <f>IF(' '!$K$9=0,"",VLOOKUP(' '!A7,' '!$B$4:$N$8,7,0))</f>
        <v>3</v>
      </c>
      <c r="BM60" s="318"/>
      <c r="BN60" s="333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203"/>
      <c r="C61" s="203"/>
      <c r="D61" s="203"/>
      <c r="E61" s="203"/>
      <c r="F61" s="203"/>
      <c r="G61" s="203"/>
      <c r="H61" s="203"/>
      <c r="J61" s="271">
        <f>IF(' '!$K$9=0,"",IF(VLOOKUP(' '!A8,' '!$B$4:$D$8,3,0)=MAX(J$57:J60),"",' '!A8))</f>
        <v>5</v>
      </c>
      <c r="K61" s="272"/>
      <c r="L61" s="264" t="str">
        <f>IF(' '!$K$9=0,B23,VLOOKUP(' '!A8,' '!$B$4:$N$8,4,0))</f>
        <v>Vikt. Rietberg</v>
      </c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34" t="str">
        <f>IF(AND(L61&amp;$AG$49=VLOOKUP(L61&amp;$AG$49,' '!$C$21:$G$60,1,0),VLOOKUP(L61&amp;$AG$49,' '!$C$21:$G$60,4,0)&lt;&gt;""),VLOOKUP(L61&amp;$AG$49,' '!$C$21:$G$60,4,0),VLOOKUP(L61&amp;$AG$49,' '!$C$21:$G$60,5,0))</f>
        <v>1:1</v>
      </c>
      <c r="AH61" s="234"/>
      <c r="AI61" s="235"/>
      <c r="AJ61" s="180" t="str">
        <f>IF(AND(L61&amp;$AJ$49=VLOOKUP(L61&amp;$AJ$49,' '!$C$21:$G$60,1,0),VLOOKUP(L61&amp;$AJ$49,' '!$C$21:$G$60,4,0)&lt;&gt;""),VLOOKUP(L61&amp;$AJ$49,' '!$C$21:$G$60,4,0),VLOOKUP(L61&amp;$AJ$49,' '!$C$21:$G$60,5,0))</f>
        <v>1:5</v>
      </c>
      <c r="AK61" s="181"/>
      <c r="AL61" s="182"/>
      <c r="AM61" s="180" t="str">
        <f>IF(AND(L61&amp;$AM$49=VLOOKUP(L61&amp;$AM$49,' '!$C$21:$G$60,1,0),VLOOKUP(L61&amp;$AM$49,' '!$C$21:$G$60,4,0)&lt;&gt;""),VLOOKUP(L61&amp;$AM$49,' '!$C$21:$G$60,4,0),VLOOKUP(L61&amp;$AM$49,' '!$C$21:$G$60,5,0))</f>
        <v>1:1</v>
      </c>
      <c r="AN61" s="181"/>
      <c r="AO61" s="182"/>
      <c r="AP61" s="180" t="str">
        <f>IF(AND(L61&amp;$AP$49=VLOOKUP(L61&amp;$AP$49,' '!$C$21:$G$60,1,0),VLOOKUP(L61&amp;$AP$49,' '!$C$21:$G$60,4,0)&lt;&gt;""),VLOOKUP(L61&amp;$AP$49,' '!$C$21:$G$60,4,0),VLOOKUP(L61&amp;$AP$49,' '!$C$21:$G$60,5,0))</f>
        <v>2:2</v>
      </c>
      <c r="AQ61" s="181"/>
      <c r="AR61" s="182"/>
      <c r="AS61" s="230"/>
      <c r="AT61" s="231"/>
      <c r="AU61" s="231"/>
      <c r="AV61" s="198">
        <f>IF(' '!$K$9=0,"",VLOOKUP(' '!A8,' '!$B$4:$N$8,10,0))</f>
        <v>4</v>
      </c>
      <c r="AW61" s="199"/>
      <c r="AX61" s="197">
        <f>IF(' '!$K$9=0,"",VLOOKUP(' '!A8,' '!$B$4:$N$8,11,0))</f>
        <v>0</v>
      </c>
      <c r="AY61" s="197"/>
      <c r="AZ61" s="197">
        <f>IF(' '!$K$9=0,"",VLOOKUP(' '!A8,' '!$B$4:$N$8,12,0))</f>
        <v>3</v>
      </c>
      <c r="BA61" s="197"/>
      <c r="BB61" s="197">
        <f>IF(' '!$K$9=0,"",VLOOKUP(' '!A8,' '!$B$4:$N$8,13,0))</f>
        <v>1</v>
      </c>
      <c r="BC61" s="197"/>
      <c r="BD61" s="197">
        <f>IF(' '!$K$9=0,"",VLOOKUP(' '!A8,' '!$B$4:$N$8,5,0))</f>
        <v>5</v>
      </c>
      <c r="BE61" s="156"/>
      <c r="BF61" s="116" t="str">
        <f>IF(' '!$K$9=0,"",":")</f>
        <v>:</v>
      </c>
      <c r="BG61" s="218">
        <f>IF(' '!$K$9=0,"",VLOOKUP(' '!A8,' '!$B$4:$N$8,6,0))</f>
        <v>9</v>
      </c>
      <c r="BH61" s="197"/>
      <c r="BI61" s="334">
        <f>IF(' '!$K$9=0,"",BD61-BG61)</f>
        <v>-4</v>
      </c>
      <c r="BJ61" s="334"/>
      <c r="BK61" s="335"/>
      <c r="BL61" s="156">
        <f>IF(' '!$K$9=0,"",VLOOKUP(' '!A8,' '!$B$4:$N$8,7,0))</f>
        <v>3</v>
      </c>
      <c r="BM61" s="327"/>
      <c r="BN61" s="332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252" t="str">
        <f>L71</f>
        <v>TuS Friedrichsdorf</v>
      </c>
      <c r="AH63" s="167"/>
      <c r="AI63" s="167"/>
      <c r="AJ63" s="167" t="str">
        <f>L72</f>
        <v>SV Avenwedde</v>
      </c>
      <c r="AK63" s="167"/>
      <c r="AL63" s="167"/>
      <c r="AM63" s="167" t="str">
        <f>L73</f>
        <v>SCE Gütersloh</v>
      </c>
      <c r="AN63" s="167"/>
      <c r="AO63" s="167"/>
      <c r="AP63" s="167" t="str">
        <f>L74</f>
        <v>SCC Italia Gütersloh</v>
      </c>
      <c r="AQ63" s="167"/>
      <c r="AR63" s="167"/>
      <c r="AS63" s="167" t="str">
        <f>L75</f>
        <v>SC Blankenhagen</v>
      </c>
      <c r="AT63" s="167"/>
      <c r="AU63" s="162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25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4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25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4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25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4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25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4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5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4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263" t="s">
        <v>16</v>
      </c>
      <c r="C69" s="263"/>
      <c r="D69" s="263"/>
      <c r="E69" s="263"/>
      <c r="F69" s="263"/>
      <c r="G69" s="263"/>
      <c r="H69" s="263"/>
      <c r="AG69" s="25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4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49" t="s">
        <v>17</v>
      </c>
      <c r="C70" s="249"/>
      <c r="D70" s="249"/>
      <c r="E70" s="249"/>
      <c r="F70" s="249" t="s">
        <v>18</v>
      </c>
      <c r="G70" s="249"/>
      <c r="H70" s="249"/>
      <c r="J70" s="250" t="str">
        <f>IF(' '!K18=0,"Gruppe B",IF(' '!A18&lt;&gt;' '!K18,"es liegen nicht alle Ergebnisse vor","Gruppe B"))</f>
        <v>Gruppe B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4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58"/>
      <c r="AV70" s="248" t="s">
        <v>19</v>
      </c>
      <c r="AW70" s="225"/>
      <c r="AX70" s="224" t="s">
        <v>20</v>
      </c>
      <c r="AY70" s="225"/>
      <c r="AZ70" s="224" t="s">
        <v>21</v>
      </c>
      <c r="BA70" s="225"/>
      <c r="BB70" s="224" t="s">
        <v>22</v>
      </c>
      <c r="BC70" s="225"/>
      <c r="BD70" s="224" t="s">
        <v>23</v>
      </c>
      <c r="BE70" s="248"/>
      <c r="BF70" s="248"/>
      <c r="BG70" s="248"/>
      <c r="BH70" s="225"/>
      <c r="BI70" s="224" t="s">
        <v>24</v>
      </c>
      <c r="BJ70" s="248"/>
      <c r="BK70" s="248"/>
      <c r="BL70" s="224" t="s">
        <v>25</v>
      </c>
      <c r="BM70" s="248"/>
      <c r="BN70" s="338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203"/>
      <c r="C71" s="203"/>
      <c r="D71" s="203"/>
      <c r="E71" s="203"/>
      <c r="F71" s="203"/>
      <c r="G71" s="203"/>
      <c r="H71" s="203"/>
      <c r="J71" s="239">
        <f>IF(' '!$K$18=0,"",1)</f>
        <v>1</v>
      </c>
      <c r="K71" s="240"/>
      <c r="L71" s="261" t="str">
        <f>IF(' '!K$18=0,AA19,VLOOKUP(' '!A13,' '!$B$13:$N$17,4,0))</f>
        <v>TuS Friedrichsdorf</v>
      </c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15"/>
      <c r="AH71" s="215"/>
      <c r="AI71" s="216"/>
      <c r="AJ71" s="191" t="str">
        <f>IF(AND(L71&amp;$AJ$63=VLOOKUP(L71&amp;$AJ$63,' '!$C$21:$G$60,1,0),VLOOKUP(L71&amp;$AJ$63,' '!$C$21:$G$60,4,0)&lt;&gt;""),VLOOKUP(L71&amp;$AJ$63,' '!$C$21:$G$60,4,0),VLOOKUP(L71&amp;$AJ$63,' '!$C$21:$G$60,5,0))</f>
        <v>2:1</v>
      </c>
      <c r="AK71" s="192"/>
      <c r="AL71" s="193"/>
      <c r="AM71" s="191" t="str">
        <f>IF(AND(L71&amp;$AM$63=VLOOKUP(L71&amp;$AM$63,' '!$C$21:$G$60,1,0),VLOOKUP(L71&amp;$AM$63,' '!$C$21:$G$60,4,0)&lt;&gt;""),VLOOKUP(L71&amp;$AM$63,' '!$C$21:$G$60,4,0),VLOOKUP(L71&amp;$AM$63,' '!$C$21:$G$60,5,0))</f>
        <v>6:5</v>
      </c>
      <c r="AN71" s="192"/>
      <c r="AO71" s="193"/>
      <c r="AP71" s="191" t="str">
        <f>IF(AND(L71&amp;$AP$63=VLOOKUP(L71&amp;$AP$63,' '!$C$21:$G$60,1,0),VLOOKUP(L71&amp;$AP$63,' '!$C$21:$G$60,4,0)&lt;&gt;""),VLOOKUP(L71&amp;$AP$63,' '!$C$21:$G$60,4,0),VLOOKUP(L71&amp;$AP$63,' '!$C$21:$G$60,5,0))</f>
        <v>4:3</v>
      </c>
      <c r="AQ71" s="192"/>
      <c r="AR71" s="193"/>
      <c r="AS71" s="178" t="str">
        <f>IF(AND(L71&amp;$AS$63=VLOOKUP(L71&amp;$AS$63,' '!$C$21:$G$60,1,0),VLOOKUP(L71&amp;$AS$63,' '!$C$21:$G$60,4,0)&lt;&gt;""),VLOOKUP(L71&amp;$AS$63,' '!$C$21:$G$60,4,0),VLOOKUP(L71&amp;$AS$63,' '!$C$21:$G$60,5,0))</f>
        <v>3:0</v>
      </c>
      <c r="AT71" s="179"/>
      <c r="AU71" s="179"/>
      <c r="AV71" s="165">
        <f>IF(' '!K$18=0,"",VLOOKUP(' '!A13,' '!$B$13:$N$17,10,0))</f>
        <v>4</v>
      </c>
      <c r="AW71" s="166"/>
      <c r="AX71" s="194">
        <f>IF(' '!K$18=0,"",VLOOKUP(' '!A13,' '!$B$13:$N$17,11,0))</f>
        <v>4</v>
      </c>
      <c r="AY71" s="194"/>
      <c r="AZ71" s="194">
        <f>IF(' '!K$18=0,"",VLOOKUP(' '!A13,' '!$B$13:$N$17,12,0))</f>
        <v>0</v>
      </c>
      <c r="BA71" s="194"/>
      <c r="BB71" s="194">
        <f>IF(' '!K$18=0,"",VLOOKUP(' '!A13,' '!$B$13:$N$17,13,0))</f>
        <v>0</v>
      </c>
      <c r="BC71" s="194"/>
      <c r="BD71" s="222">
        <f>IF(' '!K$18=0,"",VLOOKUP(' '!A13,' '!$B$13:$N$17,5,0))</f>
        <v>15</v>
      </c>
      <c r="BE71" s="223"/>
      <c r="BF71" s="114" t="str">
        <f>IF(' '!K$18=0,"",":")</f>
        <v>:</v>
      </c>
      <c r="BG71" s="221">
        <f>IF(' '!K$18=0,"",VLOOKUP(' '!A13,' '!$B$13:$N$17,6,0))</f>
        <v>9</v>
      </c>
      <c r="BH71" s="222"/>
      <c r="BI71" s="219">
        <f>IF(' '!K$18=0,"",BD71-BG71)</f>
        <v>6</v>
      </c>
      <c r="BJ71" s="219"/>
      <c r="BK71" s="220"/>
      <c r="BL71" s="339">
        <f>IF(' '!K$18=0,"",VLOOKUP(' '!A13,' '!$B$13:$N$17,7,0))</f>
        <v>12</v>
      </c>
      <c r="BM71" s="340"/>
      <c r="BN71" s="341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203"/>
      <c r="C72" s="203"/>
      <c r="D72" s="203"/>
      <c r="E72" s="203"/>
      <c r="F72" s="203"/>
      <c r="G72" s="203"/>
      <c r="H72" s="203"/>
      <c r="J72" s="237">
        <f>IF(' '!K$18=0,"",IF(VLOOKUP(' '!A14,' '!$B$13:$D$17,3,0)=MAX(J$71:J71),"",' '!A14))</f>
        <v>2</v>
      </c>
      <c r="K72" s="238"/>
      <c r="L72" s="227" t="str">
        <f>IF(' '!K$18=0,AA20,VLOOKUP(' '!A14,' '!$B$13:$N$17,4,0))</f>
        <v>SV Avenwedde</v>
      </c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187" t="str">
        <f>IF(AND(L72&amp;$AG$63=VLOOKUP(L72&amp;$AG$63,' '!$C$21:$G$60,1,0),VLOOKUP(L72&amp;$AG$63,' '!$C$21:$G$60,4,0)&lt;&gt;""),VLOOKUP(L72&amp;$AG$63,' '!$C$21:$G$60,4,0),VLOOKUP(L72&amp;$AG$63,' '!$C$21:$G$60,5,0))</f>
        <v>1:2</v>
      </c>
      <c r="AH72" s="187"/>
      <c r="AI72" s="229"/>
      <c r="AJ72" s="183"/>
      <c r="AK72" s="184"/>
      <c r="AL72" s="185"/>
      <c r="AM72" s="188" t="str">
        <f>IF(AND(L72&amp;$AM$63=VLOOKUP(L72&amp;$AM$63,' '!$C$21:$G$60,1,0),VLOOKUP(L72&amp;$AM$63,' '!$C$21:$G$60,4,0)&lt;&gt;""),VLOOKUP(L72&amp;$AM$63,' '!$C$21:$G$60,4,0),VLOOKUP(L72&amp;$AM$63,' '!$C$21:$G$60,5,0))</f>
        <v>4:0</v>
      </c>
      <c r="AN72" s="189"/>
      <c r="AO72" s="190"/>
      <c r="AP72" s="188" t="str">
        <f>IF(AND(L72&amp;$AP$63=VLOOKUP(L72&amp;$AP$63,' '!$C$21:$G$60,1,0),VLOOKUP(L72&amp;$AP$63,' '!$C$21:$G$60,4,0)&lt;&gt;""),VLOOKUP(L72&amp;$AP$63,' '!$C$21:$G$60,4,0),VLOOKUP(L72&amp;$AP$63,' '!$C$21:$G$60,5,0))</f>
        <v>1:0</v>
      </c>
      <c r="AQ72" s="189"/>
      <c r="AR72" s="190"/>
      <c r="AS72" s="186" t="str">
        <f>IF(AND(L72&amp;$AS$63=VLOOKUP(L72&amp;$AS$63,' '!$C$21:$G$60,1,0),VLOOKUP(L72&amp;$AS$63,' '!$C$21:$G$60,4,0)&lt;&gt;""),VLOOKUP(L72&amp;$AS$63,' '!$C$21:$G$60,4,0),VLOOKUP(L72&amp;$AS$63,' '!$C$21:$G$60,5,0))</f>
        <v>4:0</v>
      </c>
      <c r="AT72" s="187"/>
      <c r="AU72" s="187"/>
      <c r="AV72" s="195">
        <f>IF(' '!K$18=0,"",VLOOKUP(' '!A14,' '!$B$13:$N$17,10,0))</f>
        <v>4</v>
      </c>
      <c r="AW72" s="196"/>
      <c r="AX72" s="194">
        <f>IF(' '!K$18=0,"",VLOOKUP(' '!A14,' '!$B$13:$N$17,11,0))</f>
        <v>3</v>
      </c>
      <c r="AY72" s="194"/>
      <c r="AZ72" s="194">
        <f>IF(' '!K$18=0,"",VLOOKUP(' '!A14,' '!$B$13:$N$17,12,0))</f>
        <v>0</v>
      </c>
      <c r="BA72" s="194"/>
      <c r="BB72" s="194">
        <f>IF(' '!K$18=0,"",VLOOKUP(' '!A14,' '!$B$13:$N$17,13,0))</f>
        <v>1</v>
      </c>
      <c r="BC72" s="194"/>
      <c r="BD72" s="204">
        <f>IF(' '!K$18=0,"",VLOOKUP(' '!A14,' '!$B$13:$N$17,5,0))</f>
        <v>10</v>
      </c>
      <c r="BE72" s="205"/>
      <c r="BF72" s="115" t="str">
        <f>IF(' '!K$18=0,"",":")</f>
        <v>:</v>
      </c>
      <c r="BG72" s="226">
        <f>IF(' '!K$18=0,"",VLOOKUP(' '!A14,' '!$B$13:$N$17,6,0))</f>
        <v>2</v>
      </c>
      <c r="BH72" s="204"/>
      <c r="BI72" s="219">
        <f>IF(' '!K$18=0,"",BD72-BG72)</f>
        <v>8</v>
      </c>
      <c r="BJ72" s="219"/>
      <c r="BK72" s="220"/>
      <c r="BL72" s="205">
        <f>IF(' '!K$18=0,"",VLOOKUP(' '!A14,' '!$B$13:$N$17,7,0))</f>
        <v>9</v>
      </c>
      <c r="BM72" s="318"/>
      <c r="BN72" s="333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203"/>
      <c r="C73" s="203"/>
      <c r="D73" s="203"/>
      <c r="E73" s="203"/>
      <c r="F73" s="203"/>
      <c r="G73" s="203"/>
      <c r="H73" s="203"/>
      <c r="J73" s="237">
        <f>IF(' '!K$18=0,"",IF(VLOOKUP(' '!A15,' '!$B$13:$D$17,3,0)=MAX(J$71:K72),"",' '!A15))</f>
        <v>3</v>
      </c>
      <c r="K73" s="238"/>
      <c r="L73" s="227" t="str">
        <f>IF(' '!K$18=0,AA21,VLOOKUP(' '!A15,' '!$B$13:$N$17,4,0))</f>
        <v>SCE Gütersloh</v>
      </c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187" t="str">
        <f>IF(AND(L73&amp;$AG$63=VLOOKUP(L73&amp;$AG$63,' '!$C$21:$G$60,1,0),VLOOKUP(L73&amp;$AG$63,' '!$C$21:$G$60,4,0)&lt;&gt;""),VLOOKUP(L73&amp;$AG$63,' '!$C$21:$G$60,4,0),VLOOKUP(L73&amp;$AG$63,' '!$C$21:$G$60,5,0))</f>
        <v>5:6</v>
      </c>
      <c r="AH73" s="187"/>
      <c r="AI73" s="229"/>
      <c r="AJ73" s="188" t="str">
        <f>IF(AND(L73&amp;$AJ$63=VLOOKUP(L73&amp;$AJ$63,' '!$C$21:$G$60,1,0),VLOOKUP(L73&amp;$AJ$63,' '!$C$21:$G$60,4,0)&lt;&gt;""),VLOOKUP(L73&amp;$AJ$63,' '!$C$21:$G$60,4,0),VLOOKUP(L73&amp;$AJ$63,' '!$C$21:$G$60,5,0))</f>
        <v>0:4</v>
      </c>
      <c r="AK73" s="189"/>
      <c r="AL73" s="190"/>
      <c r="AM73" s="183"/>
      <c r="AN73" s="184"/>
      <c r="AO73" s="185"/>
      <c r="AP73" s="188" t="str">
        <f>IF(AND(L73&amp;$AP$63=VLOOKUP(L73&amp;$AP$63,' '!$C$21:$G$60,1,0),VLOOKUP(L73&amp;$AP$63,' '!$C$21:$G$60,4,0)&lt;&gt;""),VLOOKUP(L73&amp;$AP$63,' '!$C$21:$G$60,4,0),VLOOKUP(L73&amp;$AP$63,' '!$C$21:$G$60,5,0))</f>
        <v>2:1</v>
      </c>
      <c r="AQ73" s="189"/>
      <c r="AR73" s="190"/>
      <c r="AS73" s="186" t="str">
        <f>IF(AND(L73&amp;$AS$63=VLOOKUP(L73&amp;$AS$63,' '!$C$21:$G$60,1,0),VLOOKUP(L73&amp;$AS$63,' '!$C$21:$G$60,4,0)&lt;&gt;""),VLOOKUP(L73&amp;$AS$63,' '!$C$21:$G$60,4,0),VLOOKUP(L73&amp;$AS$63,' '!$C$21:$G$60,5,0))</f>
        <v>4:2</v>
      </c>
      <c r="AT73" s="187"/>
      <c r="AU73" s="187"/>
      <c r="AV73" s="195">
        <f>IF(' '!K$18=0,"",VLOOKUP(' '!A15,' '!$B$13:$N$17,10,0))</f>
        <v>4</v>
      </c>
      <c r="AW73" s="196"/>
      <c r="AX73" s="194">
        <f>IF(' '!K$18=0,"",VLOOKUP(' '!A15,' '!$B$13:$N$17,11,0))</f>
        <v>2</v>
      </c>
      <c r="AY73" s="194"/>
      <c r="AZ73" s="194">
        <f>IF(' '!K$18=0,"",VLOOKUP(' '!A15,' '!$B$13:$N$17,12,0))</f>
        <v>0</v>
      </c>
      <c r="BA73" s="194"/>
      <c r="BB73" s="194">
        <f>IF(' '!K$18=0,"",VLOOKUP(' '!A15,' '!$B$13:$N$17,13,0))</f>
        <v>2</v>
      </c>
      <c r="BC73" s="194"/>
      <c r="BD73" s="204">
        <f>IF(' '!K$18=0,"",VLOOKUP(' '!A15,' '!$B$13:$N$17,5,0))</f>
        <v>11</v>
      </c>
      <c r="BE73" s="205"/>
      <c r="BF73" s="115" t="str">
        <f>IF(' '!K$18=0,"",":")</f>
        <v>:</v>
      </c>
      <c r="BG73" s="226">
        <f>IF(' '!K$18=0,"",VLOOKUP(' '!A15,' '!$B$13:$N$17,6,0))</f>
        <v>13</v>
      </c>
      <c r="BH73" s="204"/>
      <c r="BI73" s="219">
        <f>IF(' '!K$18=0,"",BD73-BG73)</f>
        <v>-2</v>
      </c>
      <c r="BJ73" s="219"/>
      <c r="BK73" s="220"/>
      <c r="BL73" s="205">
        <f>IF(' '!K$18=0,"",VLOOKUP(' '!A15,' '!$B$13:$N$17,7,0))</f>
        <v>6</v>
      </c>
      <c r="BM73" s="318"/>
      <c r="BN73" s="333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203"/>
      <c r="C74" s="203"/>
      <c r="D74" s="203"/>
      <c r="E74" s="203"/>
      <c r="F74" s="203"/>
      <c r="G74" s="203"/>
      <c r="H74" s="203"/>
      <c r="J74" s="237">
        <f>IF(' '!K$18=0,"",IF(VLOOKUP(' '!A16,' '!$B$13:$D$17,3,0)=MAX(J$71:K73),"",' '!A16))</f>
        <v>4</v>
      </c>
      <c r="K74" s="238"/>
      <c r="L74" s="227" t="str">
        <f>IF(' '!K$18=0,AA22,VLOOKUP(' '!A16,' '!$B$13:$N$17,4,0))</f>
        <v>SCC Italia Gütersloh</v>
      </c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187" t="str">
        <f>IF(AND(L74&amp;$AG$63=VLOOKUP(L74&amp;$AG$63,' '!$C$21:$G$60,1,0),VLOOKUP(L74&amp;$AG$63,' '!$C$21:$G$60,4,0)&lt;&gt;""),VLOOKUP(L74&amp;$AG$63,' '!$C$21:$G$60,4,0),VLOOKUP(L74&amp;$AG$63,' '!$C$21:$G$60,5,0))</f>
        <v>3:4</v>
      </c>
      <c r="AH74" s="187"/>
      <c r="AI74" s="229"/>
      <c r="AJ74" s="188" t="str">
        <f>IF(AND(L74&amp;$AJ$63=VLOOKUP(L74&amp;$AJ$63,' '!$C$21:$G$60,1,0),VLOOKUP(L74&amp;$AJ$63,' '!$C$21:$G$60,4,0)&lt;&gt;""),VLOOKUP(L74&amp;$AJ$63,' '!$C$21:$G$60,4,0),VLOOKUP(L74&amp;$AJ$63,' '!$C$21:$G$60,5,0))</f>
        <v>0:1</v>
      </c>
      <c r="AK74" s="189"/>
      <c r="AL74" s="190"/>
      <c r="AM74" s="188" t="str">
        <f>IF(AND(L74&amp;$AM$63=VLOOKUP(L74&amp;$AM$63,' '!$C$21:$G$60,1,0),VLOOKUP(L74&amp;$AM$63,' '!$C$21:$G$60,4,0)&lt;&gt;""),VLOOKUP(L74&amp;$AM$63,' '!$C$21:$G$60,4,0),VLOOKUP(L74&amp;$AM$63,' '!$C$21:$G$60,5,0))</f>
        <v>1:2</v>
      </c>
      <c r="AN74" s="189"/>
      <c r="AO74" s="190"/>
      <c r="AP74" s="183"/>
      <c r="AQ74" s="184"/>
      <c r="AR74" s="185"/>
      <c r="AS74" s="186" t="str">
        <f>IF(AND(L74&amp;$AS$63=VLOOKUP(L74&amp;$AS$63,' '!$C$21:$G$60,1,0),VLOOKUP(L74&amp;$AS$63,' '!$C$21:$G$60,4,0)&lt;&gt;""),VLOOKUP(L74&amp;$AS$63,' '!$C$21:$G$60,4,0),VLOOKUP(L74&amp;$AS$63,' '!$C$21:$G$60,5,0))</f>
        <v>4:1</v>
      </c>
      <c r="AT74" s="187"/>
      <c r="AU74" s="187"/>
      <c r="AV74" s="195">
        <f>IF(' '!K$18=0,"",VLOOKUP(' '!A16,' '!$B$13:$N$17,10,0))</f>
        <v>4</v>
      </c>
      <c r="AW74" s="196"/>
      <c r="AX74" s="194">
        <f>IF(' '!K$18=0,"",VLOOKUP(' '!A16,' '!$B$13:$N$17,11,0))</f>
        <v>1</v>
      </c>
      <c r="AY74" s="194"/>
      <c r="AZ74" s="194">
        <f>IF(' '!K$18=0,"",VLOOKUP(' '!A16,' '!$B$13:$N$17,12,0))</f>
        <v>0</v>
      </c>
      <c r="BA74" s="194"/>
      <c r="BB74" s="194">
        <f>IF(' '!K$18=0,"",VLOOKUP(' '!A16,' '!$B$13:$N$17,13,0))</f>
        <v>3</v>
      </c>
      <c r="BC74" s="194"/>
      <c r="BD74" s="204">
        <f>IF(' '!K$18=0,"",VLOOKUP(' '!A16,' '!$B$13:$N$17,5,0))</f>
        <v>8</v>
      </c>
      <c r="BE74" s="205"/>
      <c r="BF74" s="115" t="str">
        <f>IF(' '!K$18=0,"",":")</f>
        <v>:</v>
      </c>
      <c r="BG74" s="226">
        <f>IF(' '!K$18=0,"",VLOOKUP(' '!A16,' '!$B$13:$N$17,6,0))</f>
        <v>8</v>
      </c>
      <c r="BH74" s="204"/>
      <c r="BI74" s="219">
        <f>IF(' '!K$18=0,"",BD74-BG74)</f>
        <v>0</v>
      </c>
      <c r="BJ74" s="219"/>
      <c r="BK74" s="220"/>
      <c r="BL74" s="205">
        <f>IF(' '!K$18=0,"",VLOOKUP(' '!A16,' '!$B$13:$N$17,7,0))</f>
        <v>3</v>
      </c>
      <c r="BM74" s="318"/>
      <c r="BN74" s="333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203"/>
      <c r="C75" s="203"/>
      <c r="D75" s="203"/>
      <c r="E75" s="203"/>
      <c r="F75" s="203"/>
      <c r="G75" s="203"/>
      <c r="H75" s="203"/>
      <c r="J75" s="328">
        <f>IF(' '!K$18=0,"",IF(VLOOKUP(' '!A17,' '!$B$13:$D$17,3,0)=MAX(J$71:K74),"",' '!A17))</f>
        <v>5</v>
      </c>
      <c r="K75" s="329"/>
      <c r="L75" s="264" t="str">
        <f>IF(' '!K$18=0,AA23,VLOOKUP(' '!A17,' '!$B$13:$N$17,4,0))</f>
        <v>SC Blankenhagen</v>
      </c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34" t="str">
        <f>IF(AND(L75&amp;$AG$63=VLOOKUP(L75&amp;$AG$63,' '!$C$21:$G$60,1,0),VLOOKUP(L75&amp;$AG$63,' '!$C$21:$G$60,4,0)&lt;&gt;""),VLOOKUP(L75&amp;$AG$63,' '!$C$21:$G$60,4,0),VLOOKUP(L75&amp;$AG$63,' '!$C$21:$G$60,5,0))</f>
        <v>0:3</v>
      </c>
      <c r="AH75" s="234"/>
      <c r="AI75" s="235"/>
      <c r="AJ75" s="180" t="str">
        <f>IF(AND(L75&amp;$AJ$63=VLOOKUP(L75&amp;$AJ$63,' '!$C$21:$G$60,1,0),VLOOKUP(L75&amp;$AJ$63,' '!$C$21:$G$60,4,0)&lt;&gt;""),VLOOKUP(L75&amp;$AJ$63,' '!$C$21:$G$60,4,0),VLOOKUP(L75&amp;$AJ$63,' '!$C$21:$G$60,5,0))</f>
        <v>0:4</v>
      </c>
      <c r="AK75" s="181"/>
      <c r="AL75" s="182"/>
      <c r="AM75" s="180" t="str">
        <f>IF(AND(L75&amp;$AM$63=VLOOKUP(L75&amp;$AM$63,' '!$C$21:$G$60,1,0),VLOOKUP(L75&amp;$AM$63,' '!$C$21:$G$60,4,0)&lt;&gt;""),VLOOKUP(L75&amp;$AM$63,' '!$C$21:$G$60,4,0),VLOOKUP(L75&amp;$AM$63,' '!$C$21:$G$60,5,0))</f>
        <v>2:4</v>
      </c>
      <c r="AN75" s="181"/>
      <c r="AO75" s="182"/>
      <c r="AP75" s="180" t="str">
        <f>IF(AND(L75&amp;$AP$63=VLOOKUP(L75&amp;$AP$63,' '!$C$21:$G$60,1,0),VLOOKUP(L75&amp;$AP$63,' '!$C$21:$G$60,4,0)&lt;&gt;""),VLOOKUP(L75&amp;$AP$63,' '!$C$21:$G$60,4,0),VLOOKUP(L75&amp;$AP$63,' '!$C$21:$G$60,5,0))</f>
        <v>1:4</v>
      </c>
      <c r="AQ75" s="181"/>
      <c r="AR75" s="182"/>
      <c r="AS75" s="230"/>
      <c r="AT75" s="231"/>
      <c r="AU75" s="231"/>
      <c r="AV75" s="198">
        <f>IF(' '!K$18=0,"",VLOOKUP(' '!A17,' '!$B$13:$N$17,10,0))</f>
        <v>4</v>
      </c>
      <c r="AW75" s="199"/>
      <c r="AX75" s="197">
        <f>IF(' '!K$18=0,"",VLOOKUP(' '!A17,' '!$B$13:$N$17,11,0))</f>
        <v>0</v>
      </c>
      <c r="AY75" s="197"/>
      <c r="AZ75" s="197">
        <f>IF(' '!K$18=0,"",VLOOKUP(' '!A17,' '!$B$13:$N$17,12,0))</f>
        <v>0</v>
      </c>
      <c r="BA75" s="197"/>
      <c r="BB75" s="197">
        <f>IF(' '!K$18=0,"",VLOOKUP(' '!A17,' '!$B$13:$N$17,13,0))</f>
        <v>4</v>
      </c>
      <c r="BC75" s="197"/>
      <c r="BD75" s="197">
        <f>IF(' '!K$18=0,"",VLOOKUP(' '!A17,' '!$B$13:$N$17,5,0))</f>
        <v>3</v>
      </c>
      <c r="BE75" s="156"/>
      <c r="BF75" s="116" t="str">
        <f>IF(' '!K$18=0,"",":")</f>
        <v>:</v>
      </c>
      <c r="BG75" s="218">
        <f>IF(' '!K$18=0,"",VLOOKUP(' '!A17,' '!$B$13:$N$17,6,0))</f>
        <v>15</v>
      </c>
      <c r="BH75" s="197"/>
      <c r="BI75" s="334">
        <f>IF(' '!K$18=0,"",BD75-BG75)</f>
        <v>-12</v>
      </c>
      <c r="BJ75" s="334"/>
      <c r="BK75" s="335"/>
      <c r="BL75" s="156">
        <f>IF(' '!K$18=0,"",VLOOKUP(' '!A17,' '!$B$13:$N$17,7,0))</f>
        <v>0</v>
      </c>
      <c r="BM75" s="327"/>
      <c r="BN75" s="332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26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233" t="s">
        <v>51</v>
      </c>
      <c r="C78" s="233"/>
      <c r="D78" s="233"/>
      <c r="E78" s="233"/>
      <c r="F78" s="233"/>
      <c r="G78" s="233"/>
      <c r="H78" s="276">
        <f>H14</f>
        <v>0.7395833333333326</v>
      </c>
      <c r="I78" s="276"/>
      <c r="J78" s="276"/>
      <c r="K78" s="276"/>
      <c r="L78" s="33" t="s">
        <v>1</v>
      </c>
      <c r="M78" s="33"/>
      <c r="N78" s="33"/>
      <c r="O78" s="33"/>
      <c r="P78" s="33"/>
      <c r="Q78" s="33"/>
      <c r="R78" s="33"/>
      <c r="S78" s="33"/>
      <c r="T78" s="42" t="s">
        <v>2</v>
      </c>
      <c r="U78" s="293">
        <f>U14</f>
        <v>1</v>
      </c>
      <c r="V78" s="293"/>
      <c r="W78" s="43" t="s">
        <v>3</v>
      </c>
      <c r="X78" s="236">
        <f>X14</f>
        <v>15</v>
      </c>
      <c r="Y78" s="236"/>
      <c r="Z78" s="236"/>
      <c r="AA78" s="236"/>
      <c r="AB78" s="236"/>
      <c r="AC78" s="313">
        <f>AC14</f>
      </c>
      <c r="AD78" s="313"/>
      <c r="AE78" s="313"/>
      <c r="AF78" s="313"/>
      <c r="AG78" s="313"/>
      <c r="AH78" s="313"/>
      <c r="AI78" s="236">
        <f>AI14</f>
        <v>0</v>
      </c>
      <c r="AJ78" s="236"/>
      <c r="AK78" s="236"/>
      <c r="AL78" s="236"/>
      <c r="AM78" s="236"/>
      <c r="AN78" s="33"/>
      <c r="AO78" s="233" t="s">
        <v>4</v>
      </c>
      <c r="AP78" s="233"/>
      <c r="AQ78" s="233"/>
      <c r="AR78" s="233"/>
      <c r="AS78" s="233"/>
      <c r="AT78" s="233"/>
      <c r="AU78" s="233"/>
      <c r="AV78" s="233"/>
      <c r="AW78" s="232">
        <f>AW14</f>
        <v>3</v>
      </c>
      <c r="AX78" s="232"/>
      <c r="AY78" s="232"/>
      <c r="AZ78" s="232"/>
      <c r="BA78" s="232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281" t="s">
        <v>9</v>
      </c>
      <c r="C80" s="282"/>
      <c r="D80" s="244" t="s">
        <v>52</v>
      </c>
      <c r="E80" s="257"/>
      <c r="F80" s="257"/>
      <c r="G80" s="258"/>
      <c r="H80" s="244" t="s">
        <v>27</v>
      </c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8"/>
      <c r="AY80" s="243" t="s">
        <v>12</v>
      </c>
      <c r="AZ80" s="243"/>
      <c r="BA80" s="243"/>
      <c r="BB80" s="243"/>
      <c r="BC80" s="244"/>
      <c r="BD80" s="367"/>
      <c r="BE80" s="368"/>
      <c r="BF80" s="368"/>
      <c r="BG80" s="369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277">
        <v>21</v>
      </c>
      <c r="C81" s="278"/>
      <c r="D81" s="283">
        <f>$H$78</f>
        <v>0.7395833333333326</v>
      </c>
      <c r="E81" s="284"/>
      <c r="F81" s="284"/>
      <c r="G81" s="285"/>
      <c r="H81" s="259" t="str">
        <f>IF(OR(' '!K9=0,' '!A9&lt;&gt;SUM(AV57:AW61)),"",IF(OR(F57=1,F58=1,F59=1,F60=1,F61=1),VLOOKUP(SMALL($F$57:$H$61,1),$F$57:$AF$61,7,0),IF(AND(SUM(AV57:AW61)=' '!A9,' '!D9=1),L57,"1. Platz Gruppe A nicht eindeutig")))</f>
        <v>SV Spexard</v>
      </c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127" t="s">
        <v>14</v>
      </c>
      <c r="AD81" s="260" t="str">
        <f>IF(OR(' '!K18=0,' '!A18&lt;&gt;SUM(AV57:AW61)),"",IF(OR(F71=2,F72=2,F73=2,F74=2,F75=2),VLOOKUP(SMALL($F$71:$H$75,2),$F$71:$AF$75,7,0),IF(AND(SUM(AV57:AW61)=' '!A18,' '!D19=1),L72,"2. Platz Gruppe B nicht eindeutig")))</f>
        <v>SV Avenwedde</v>
      </c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314"/>
      <c r="AY81" s="273"/>
      <c r="AZ81" s="274"/>
      <c r="BA81" s="274"/>
      <c r="BB81" s="310"/>
      <c r="BC81" s="310"/>
      <c r="BD81" s="359"/>
      <c r="BE81" s="360"/>
      <c r="BF81" s="360"/>
      <c r="BG81" s="361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279"/>
      <c r="C82" s="280"/>
      <c r="D82" s="286"/>
      <c r="E82" s="287"/>
      <c r="F82" s="287"/>
      <c r="G82" s="288"/>
      <c r="H82" s="176" t="s">
        <v>28</v>
      </c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28"/>
      <c r="AD82" s="177" t="s">
        <v>29</v>
      </c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242"/>
      <c r="AY82" s="176"/>
      <c r="AZ82" s="177"/>
      <c r="BA82" s="177"/>
      <c r="BB82" s="177"/>
      <c r="BC82" s="177"/>
      <c r="BD82" s="176"/>
      <c r="BE82" s="177"/>
      <c r="BF82" s="177"/>
      <c r="BG82" s="358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281" t="s">
        <v>9</v>
      </c>
      <c r="C84" s="282"/>
      <c r="D84" s="244" t="s">
        <v>52</v>
      </c>
      <c r="E84" s="257"/>
      <c r="F84" s="257"/>
      <c r="G84" s="258"/>
      <c r="H84" s="244" t="s">
        <v>30</v>
      </c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8"/>
      <c r="AY84" s="243" t="s">
        <v>12</v>
      </c>
      <c r="AZ84" s="243"/>
      <c r="BA84" s="243"/>
      <c r="BB84" s="243"/>
      <c r="BC84" s="244"/>
      <c r="BD84" s="367"/>
      <c r="BE84" s="368"/>
      <c r="BF84" s="368"/>
      <c r="BG84" s="369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277">
        <v>22</v>
      </c>
      <c r="C85" s="278"/>
      <c r="D85" s="283">
        <f>$D$81+TEXT($U$14*($X$14/1440)+($AI$14/1440)+($AW$14/1440),"hh:mm")</f>
        <v>0.7520833333333325</v>
      </c>
      <c r="E85" s="284"/>
      <c r="F85" s="284"/>
      <c r="G85" s="285"/>
      <c r="H85" s="259" t="str">
        <f>IF(OR(' '!K9=0,' '!A9&lt;&gt;SUM(AV57:AW61)),"",IF(OR(F57=2,F58=2,F59=2,F60=2,F61=2),VLOOKUP(SMALL($F$57:$H$61,2),$F$57:$AF$61,7,0),IF(AND(SUM(AV57:AW61)=' '!A9,' '!D10=1),L58,"2. Platz Gruppe A nicht eindeutig")))</f>
        <v>BW 98 Gütersloh</v>
      </c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127" t="s">
        <v>14</v>
      </c>
      <c r="AD85" s="260" t="str">
        <f>IF(OR(' '!K18=0,' '!A18&lt;&gt;SUM(AV57:AW61)),"",IF(OR(F71=1,F72=1,F73=1,F74=1,F75=1),VLOOKUP(SMALL($F$71:$H$75,1),$F$71:$AF$75,7,0),IF(AND(SUM(AV57:AW61)=' '!A18,' '!D18=1),L71,"1. Platz Gruppe B nicht eindeutig")))</f>
        <v>TuS Friedrichsdorf</v>
      </c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314"/>
      <c r="AY85" s="273"/>
      <c r="AZ85" s="274"/>
      <c r="BA85" s="274"/>
      <c r="BB85" s="310"/>
      <c r="BC85" s="310"/>
      <c r="BD85" s="359"/>
      <c r="BE85" s="360"/>
      <c r="BF85" s="360"/>
      <c r="BG85" s="361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279"/>
      <c r="C86" s="280"/>
      <c r="D86" s="286"/>
      <c r="E86" s="287"/>
      <c r="F86" s="287"/>
      <c r="G86" s="288"/>
      <c r="H86" s="176" t="s">
        <v>31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28"/>
      <c r="AD86" s="177" t="s">
        <v>32</v>
      </c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242"/>
      <c r="AY86" s="176"/>
      <c r="AZ86" s="177"/>
      <c r="BA86" s="177"/>
      <c r="BB86" s="177"/>
      <c r="BC86" s="177"/>
      <c r="BD86" s="176"/>
      <c r="BE86" s="177"/>
      <c r="BF86" s="177"/>
      <c r="BG86" s="358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289" t="s">
        <v>9</v>
      </c>
      <c r="C88" s="290"/>
      <c r="D88" s="291" t="s">
        <v>52</v>
      </c>
      <c r="E88" s="292"/>
      <c r="F88" s="292"/>
      <c r="G88" s="290"/>
      <c r="H88" s="291" t="s">
        <v>33</v>
      </c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0"/>
      <c r="AY88" s="291" t="s">
        <v>12</v>
      </c>
      <c r="AZ88" s="292"/>
      <c r="BA88" s="292"/>
      <c r="BB88" s="292"/>
      <c r="BC88" s="292"/>
      <c r="BD88" s="363"/>
      <c r="BE88" s="364"/>
      <c r="BF88" s="364"/>
      <c r="BG88" s="365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277">
        <v>23</v>
      </c>
      <c r="C89" s="278"/>
      <c r="D89" s="283">
        <f>$D$85+TEXT($U$14*($X$14/1440)+($AI$14/1440)+($AW$14/1440),"hh:mm")</f>
        <v>0.7645833333333325</v>
      </c>
      <c r="E89" s="284"/>
      <c r="F89" s="284"/>
      <c r="G89" s="285"/>
      <c r="H89" s="259" t="str">
        <f>IF(ISBLANK(AY81)," ",IF(AY81&lt;BB81,H81,IF(AY81&gt;BB81,AD81,"ACHTUNG! Mannschaften gleich!")))</f>
        <v> </v>
      </c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127" t="s">
        <v>14</v>
      </c>
      <c r="AD89" s="260" t="str">
        <f>IF(ISBLANK(AY85)," ",IF(AY85&lt;BB85,H85,IF(AY85&gt;BB85,AD85,"ACHTUNG! Mannschaften gleich!")))</f>
        <v> </v>
      </c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314"/>
      <c r="AY89" s="273"/>
      <c r="AZ89" s="274"/>
      <c r="BA89" s="274"/>
      <c r="BB89" s="310"/>
      <c r="BC89" s="310"/>
      <c r="BD89" s="359"/>
      <c r="BE89" s="360"/>
      <c r="BF89" s="360"/>
      <c r="BG89" s="361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279"/>
      <c r="C90" s="280"/>
      <c r="D90" s="286"/>
      <c r="E90" s="287"/>
      <c r="F90" s="287"/>
      <c r="G90" s="288"/>
      <c r="H90" s="176" t="s">
        <v>34</v>
      </c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28"/>
      <c r="AD90" s="177" t="s">
        <v>35</v>
      </c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242"/>
      <c r="AY90" s="315"/>
      <c r="AZ90" s="316"/>
      <c r="BA90" s="316"/>
      <c r="BB90" s="316"/>
      <c r="BC90" s="316"/>
      <c r="BD90" s="176"/>
      <c r="BE90" s="177"/>
      <c r="BF90" s="177"/>
      <c r="BG90" s="358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289" t="s">
        <v>9</v>
      </c>
      <c r="C92" s="290"/>
      <c r="D92" s="291" t="s">
        <v>52</v>
      </c>
      <c r="E92" s="292"/>
      <c r="F92" s="292"/>
      <c r="G92" s="290"/>
      <c r="H92" s="291" t="s">
        <v>36</v>
      </c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0"/>
      <c r="AY92" s="291" t="s">
        <v>12</v>
      </c>
      <c r="AZ92" s="292"/>
      <c r="BA92" s="292"/>
      <c r="BB92" s="292"/>
      <c r="BC92" s="292"/>
      <c r="BD92" s="363"/>
      <c r="BE92" s="364"/>
      <c r="BF92" s="364"/>
      <c r="BG92" s="365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277">
        <v>24</v>
      </c>
      <c r="C93" s="278"/>
      <c r="D93" s="283">
        <f>$D$89+TEXT($U$14*($X$14/1440)+($AI$14/1440)+($AW$14/1440),"hh:mm")</f>
        <v>0.7770833333333325</v>
      </c>
      <c r="E93" s="284"/>
      <c r="F93" s="284"/>
      <c r="G93" s="285"/>
      <c r="H93" s="259" t="str">
        <f>IF(ISBLANK(AY81)," ",IF(AY81&gt;BB81,H81,IF(AY81&lt;BB81,AD81,"ACHTUNG! Mannschaften gleich!")))</f>
        <v> </v>
      </c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127" t="s">
        <v>14</v>
      </c>
      <c r="AD93" s="260" t="str">
        <f>IF(ISBLANK(AY85)," ",IF(AY85&gt;BB85,H85,IF(AY85&lt;BB85,AD85,"ACHTUNG! Mannschaften gleich!")))</f>
        <v> </v>
      </c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314"/>
      <c r="AY93" s="273"/>
      <c r="AZ93" s="274"/>
      <c r="BA93" s="274"/>
      <c r="BB93" s="310"/>
      <c r="BC93" s="310"/>
      <c r="BD93" s="359"/>
      <c r="BE93" s="360"/>
      <c r="BF93" s="360"/>
      <c r="BG93" s="361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279"/>
      <c r="C94" s="280"/>
      <c r="D94" s="286"/>
      <c r="E94" s="287"/>
      <c r="F94" s="287"/>
      <c r="G94" s="288"/>
      <c r="H94" s="176" t="s">
        <v>37</v>
      </c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28"/>
      <c r="AD94" s="177" t="s">
        <v>38</v>
      </c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242"/>
      <c r="AY94" s="315"/>
      <c r="AZ94" s="316"/>
      <c r="BA94" s="316"/>
      <c r="BB94" s="316"/>
      <c r="BC94" s="316"/>
      <c r="BD94" s="176"/>
      <c r="BE94" s="177"/>
      <c r="BF94" s="177"/>
      <c r="BG94" s="358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39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19" t="s">
        <v>40</v>
      </c>
      <c r="J98" s="320"/>
      <c r="K98" s="320"/>
      <c r="L98" s="323" t="str">
        <f>IF(ISBLANK(BB93)," ",IF(AY93&gt;BB93,H93,IF(AY93&lt;BB93,AD93,"nicht eindeutig")))</f>
        <v> </v>
      </c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4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17" t="s">
        <v>41</v>
      </c>
      <c r="J99" s="318"/>
      <c r="K99" s="318"/>
      <c r="L99" s="321" t="str">
        <f>IF(ISBLANK(BB93)," ",IF(AY93&lt;BB93,H93,IF(AY93&gt;BB93,AD93,"nicht eindeutig")))</f>
        <v> </v>
      </c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2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325" t="s">
        <v>42</v>
      </c>
      <c r="J100" s="293"/>
      <c r="K100" s="293"/>
      <c r="L100" s="321" t="str">
        <f>IF(ISBLANK(BB89)," ",IF(AY89&gt;BB89,H89,IF(AY89&lt;BB89,AD89,"nicht eindeutig")))</f>
        <v> </v>
      </c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2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326" t="s">
        <v>43</v>
      </c>
      <c r="J101" s="327"/>
      <c r="K101" s="327"/>
      <c r="L101" s="330" t="str">
        <f>IF(ISBLANK(BB89)," ",IF(AY89&lt;BB89,H89,IF(AY89&gt;BB89,AD89,"nicht eindeutig")))</f>
        <v> </v>
      </c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1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heet="1" scenarios="1" selectLockedCells="1"/>
  <mergeCells count="461">
    <mergeCell ref="BD86:BG86"/>
    <mergeCell ref="BD85:BG85"/>
    <mergeCell ref="AI14:AM14"/>
    <mergeCell ref="AO14:AV14"/>
    <mergeCell ref="AW14:BA14"/>
    <mergeCell ref="AA20:AU20"/>
    <mergeCell ref="AY80:BC80"/>
    <mergeCell ref="H80:AX80"/>
    <mergeCell ref="AD81:AX81"/>
    <mergeCell ref="BD84:BG84"/>
    <mergeCell ref="BD94:BG94"/>
    <mergeCell ref="BD93:BG93"/>
    <mergeCell ref="BD92:BG92"/>
    <mergeCell ref="BD90:BG90"/>
    <mergeCell ref="BD89:BG89"/>
    <mergeCell ref="BD88:BG88"/>
    <mergeCell ref="AW3:BC3"/>
    <mergeCell ref="BB37:BD37"/>
    <mergeCell ref="BD80:BG80"/>
    <mergeCell ref="BB81:BC81"/>
    <mergeCell ref="BE30:BF30"/>
    <mergeCell ref="BB30:BD30"/>
    <mergeCell ref="BB29:BD29"/>
    <mergeCell ref="BE44:BF44"/>
    <mergeCell ref="AC14:AH14"/>
    <mergeCell ref="B22:V22"/>
    <mergeCell ref="AA18:AU18"/>
    <mergeCell ref="B21:V21"/>
    <mergeCell ref="AA22:AU22"/>
    <mergeCell ref="B14:G14"/>
    <mergeCell ref="H14:K14"/>
    <mergeCell ref="U14:V14"/>
    <mergeCell ref="X14:AB14"/>
    <mergeCell ref="B73:E73"/>
    <mergeCell ref="AY82:BC82"/>
    <mergeCell ref="BB46:BD46"/>
    <mergeCell ref="B3:AS3"/>
    <mergeCell ref="B4:AS4"/>
    <mergeCell ref="AG30:BA30"/>
    <mergeCell ref="B74:E74"/>
    <mergeCell ref="F74:H74"/>
    <mergeCell ref="BD82:BG82"/>
    <mergeCell ref="BD81:BG81"/>
    <mergeCell ref="BG57:BH57"/>
    <mergeCell ref="BD57:BE57"/>
    <mergeCell ref="BB71:BC71"/>
    <mergeCell ref="BG60:BH60"/>
    <mergeCell ref="BG75:BH75"/>
    <mergeCell ref="BB70:BC70"/>
    <mergeCell ref="BD70:BH70"/>
    <mergeCell ref="BG58:BH58"/>
    <mergeCell ref="BG59:BH59"/>
    <mergeCell ref="BG73:BH73"/>
    <mergeCell ref="BG74:BH74"/>
    <mergeCell ref="BD74:BE74"/>
    <mergeCell ref="BD61:BE61"/>
    <mergeCell ref="BB59:BC59"/>
    <mergeCell ref="B2:AS2"/>
    <mergeCell ref="B8:AS8"/>
    <mergeCell ref="B6:AS6"/>
    <mergeCell ref="AG49:AI56"/>
    <mergeCell ref="K28:AE28"/>
    <mergeCell ref="F56:H56"/>
    <mergeCell ref="AA19:AU19"/>
    <mergeCell ref="B23:V23"/>
    <mergeCell ref="B19:V19"/>
    <mergeCell ref="AJ49:AL56"/>
    <mergeCell ref="AD85:AX85"/>
    <mergeCell ref="H85:AB85"/>
    <mergeCell ref="B37:C37"/>
    <mergeCell ref="B39:C39"/>
    <mergeCell ref="B40:C40"/>
    <mergeCell ref="B42:C42"/>
    <mergeCell ref="F59:H59"/>
    <mergeCell ref="F58:H58"/>
    <mergeCell ref="F57:H57"/>
    <mergeCell ref="B59:E59"/>
    <mergeCell ref="AZ58:BA58"/>
    <mergeCell ref="AV59:AW59"/>
    <mergeCell ref="F70:H70"/>
    <mergeCell ref="AG61:AI61"/>
    <mergeCell ref="AJ59:AL59"/>
    <mergeCell ref="AG58:AI58"/>
    <mergeCell ref="L58:AF58"/>
    <mergeCell ref="AG59:AI59"/>
    <mergeCell ref="AP63:AR70"/>
    <mergeCell ref="AJ58:AL58"/>
    <mergeCell ref="AG28:BA28"/>
    <mergeCell ref="AG29:BA29"/>
    <mergeCell ref="AA21:AU21"/>
    <mergeCell ref="L71:AF71"/>
    <mergeCell ref="AS61:AU61"/>
    <mergeCell ref="AS60:AU60"/>
    <mergeCell ref="AZ59:BA59"/>
    <mergeCell ref="AX58:AY58"/>
    <mergeCell ref="AX59:AY59"/>
    <mergeCell ref="AM59:AO59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BE29:BF29"/>
    <mergeCell ref="BD60:BE60"/>
    <mergeCell ref="BB32:BD32"/>
    <mergeCell ref="BE32:BF32"/>
    <mergeCell ref="BD58:BE58"/>
    <mergeCell ref="BE31:BF31"/>
    <mergeCell ref="BE36:BF36"/>
    <mergeCell ref="BE40:BF40"/>
    <mergeCell ref="BE38:BF38"/>
    <mergeCell ref="BE39:BF39"/>
    <mergeCell ref="BB27:BF27"/>
    <mergeCell ref="BE28:BF28"/>
    <mergeCell ref="BB28:BD28"/>
    <mergeCell ref="BL70:BN70"/>
    <mergeCell ref="BL57:BN57"/>
    <mergeCell ref="BL56:BN56"/>
    <mergeCell ref="BI57:BK57"/>
    <mergeCell ref="BL59:BN59"/>
    <mergeCell ref="BL58:BN58"/>
    <mergeCell ref="BI61:BK61"/>
    <mergeCell ref="BI58:BK58"/>
    <mergeCell ref="BI59:BK59"/>
    <mergeCell ref="BI70:BK70"/>
    <mergeCell ref="BL75:BN75"/>
    <mergeCell ref="BL74:BN74"/>
    <mergeCell ref="BL73:BN73"/>
    <mergeCell ref="BL72:BN72"/>
    <mergeCell ref="BI75:BK75"/>
    <mergeCell ref="BI74:BK74"/>
    <mergeCell ref="BI73:BK73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AY94:BC94"/>
    <mergeCell ref="H92:AX92"/>
    <mergeCell ref="AD93:AX93"/>
    <mergeCell ref="I99:K99"/>
    <mergeCell ref="I98:K98"/>
    <mergeCell ref="BB93:BC93"/>
    <mergeCell ref="AY93:BA93"/>
    <mergeCell ref="L99:AF99"/>
    <mergeCell ref="L98:AF98"/>
    <mergeCell ref="AD94:AX94"/>
    <mergeCell ref="BB89:BC89"/>
    <mergeCell ref="H93:AB93"/>
    <mergeCell ref="AD89:AX89"/>
    <mergeCell ref="H89:AB89"/>
    <mergeCell ref="AD90:AX90"/>
    <mergeCell ref="H90:AB90"/>
    <mergeCell ref="AY92:BC92"/>
    <mergeCell ref="AY90:BC90"/>
    <mergeCell ref="AY89:BA89"/>
    <mergeCell ref="AI11:AM11"/>
    <mergeCell ref="U11:V11"/>
    <mergeCell ref="AC11:AH11"/>
    <mergeCell ref="X11:AB11"/>
    <mergeCell ref="AY88:BC88"/>
    <mergeCell ref="AN11:AV11"/>
    <mergeCell ref="AW11:BA11"/>
    <mergeCell ref="BB72:BC72"/>
    <mergeCell ref="BB85:BC85"/>
    <mergeCell ref="AD82:AX82"/>
    <mergeCell ref="AY86:BC86"/>
    <mergeCell ref="AY85:BA85"/>
    <mergeCell ref="AJ61:AL61"/>
    <mergeCell ref="AM75:AO75"/>
    <mergeCell ref="G31:J31"/>
    <mergeCell ref="B28:C28"/>
    <mergeCell ref="G29:J29"/>
    <mergeCell ref="B11:G11"/>
    <mergeCell ref="H11:K11"/>
    <mergeCell ref="B20:V20"/>
    <mergeCell ref="K29:AE29"/>
    <mergeCell ref="K27:BA27"/>
    <mergeCell ref="B18:V18"/>
    <mergeCell ref="AA23:AU23"/>
    <mergeCell ref="B44:C44"/>
    <mergeCell ref="B30:C30"/>
    <mergeCell ref="B33:C33"/>
    <mergeCell ref="G28:J28"/>
    <mergeCell ref="D29:F29"/>
    <mergeCell ref="D28:F28"/>
    <mergeCell ref="B31:C31"/>
    <mergeCell ref="D30:F30"/>
    <mergeCell ref="D31:F31"/>
    <mergeCell ref="G30:J30"/>
    <mergeCell ref="B93:C94"/>
    <mergeCell ref="D88:G88"/>
    <mergeCell ref="B92:C92"/>
    <mergeCell ref="B32:C32"/>
    <mergeCell ref="B34:C34"/>
    <mergeCell ref="B85:C86"/>
    <mergeCell ref="B47:C47"/>
    <mergeCell ref="B80:C80"/>
    <mergeCell ref="B43:C43"/>
    <mergeCell ref="D93:G94"/>
    <mergeCell ref="D92:G92"/>
    <mergeCell ref="D89:G90"/>
    <mergeCell ref="B57:E57"/>
    <mergeCell ref="B58:E58"/>
    <mergeCell ref="B75:E75"/>
    <mergeCell ref="B72:E72"/>
    <mergeCell ref="F72:H72"/>
    <mergeCell ref="H84:AX84"/>
    <mergeCell ref="U78:V78"/>
    <mergeCell ref="AG60:AI60"/>
    <mergeCell ref="B89:C90"/>
    <mergeCell ref="B84:C84"/>
    <mergeCell ref="B81:C82"/>
    <mergeCell ref="D85:G86"/>
    <mergeCell ref="D84:G84"/>
    <mergeCell ref="B88:C88"/>
    <mergeCell ref="D81:G82"/>
    <mergeCell ref="AY81:BA81"/>
    <mergeCell ref="D47:F47"/>
    <mergeCell ref="B70:E70"/>
    <mergeCell ref="AJ73:AL73"/>
    <mergeCell ref="H78:K78"/>
    <mergeCell ref="X78:AB78"/>
    <mergeCell ref="F75:H75"/>
    <mergeCell ref="AG72:AI72"/>
    <mergeCell ref="AG71:AI71"/>
    <mergeCell ref="B55:H55"/>
    <mergeCell ref="J59:K59"/>
    <mergeCell ref="AM74:AO74"/>
    <mergeCell ref="AM73:AO73"/>
    <mergeCell ref="AJ74:AL74"/>
    <mergeCell ref="AJ72:AL72"/>
    <mergeCell ref="AM60:AO60"/>
    <mergeCell ref="AJ71:AL71"/>
    <mergeCell ref="L59:AF59"/>
    <mergeCell ref="J61:K61"/>
    <mergeCell ref="J58:K58"/>
    <mergeCell ref="D41:F41"/>
    <mergeCell ref="D43:F43"/>
    <mergeCell ref="D42:F42"/>
    <mergeCell ref="G42:J42"/>
    <mergeCell ref="D44:F44"/>
    <mergeCell ref="G44:J44"/>
    <mergeCell ref="K47:AE47"/>
    <mergeCell ref="J57:K57"/>
    <mergeCell ref="H82:AB82"/>
    <mergeCell ref="J56:AF56"/>
    <mergeCell ref="D80:G80"/>
    <mergeCell ref="H81:AB81"/>
    <mergeCell ref="L57:AF57"/>
    <mergeCell ref="B69:H69"/>
    <mergeCell ref="B71:E71"/>
    <mergeCell ref="L61:AF61"/>
    <mergeCell ref="L60:AF60"/>
    <mergeCell ref="J60:K60"/>
    <mergeCell ref="AG46:BA46"/>
    <mergeCell ref="AG45:BA45"/>
    <mergeCell ref="K46:AE46"/>
    <mergeCell ref="D46:F46"/>
    <mergeCell ref="K45:AE45"/>
    <mergeCell ref="B46:C46"/>
    <mergeCell ref="B60:E60"/>
    <mergeCell ref="AM63:AO70"/>
    <mergeCell ref="AV70:AW70"/>
    <mergeCell ref="B56:E56"/>
    <mergeCell ref="J70:AF70"/>
    <mergeCell ref="AJ60:AL60"/>
    <mergeCell ref="AG63:AI70"/>
    <mergeCell ref="AJ63:AL70"/>
    <mergeCell ref="AM61:AO61"/>
    <mergeCell ref="B35:C35"/>
    <mergeCell ref="B36:C36"/>
    <mergeCell ref="B38:C38"/>
    <mergeCell ref="D38:F38"/>
    <mergeCell ref="D35:F35"/>
    <mergeCell ref="D36:F36"/>
    <mergeCell ref="D37:F37"/>
    <mergeCell ref="B41:C41"/>
    <mergeCell ref="AD86:AX86"/>
    <mergeCell ref="H86:AB86"/>
    <mergeCell ref="AY84:BC84"/>
    <mergeCell ref="B45:C45"/>
    <mergeCell ref="B78:G78"/>
    <mergeCell ref="G47:J47"/>
    <mergeCell ref="G46:J46"/>
    <mergeCell ref="G45:J45"/>
    <mergeCell ref="D45:F45"/>
    <mergeCell ref="AG75:AI75"/>
    <mergeCell ref="AI78:AM78"/>
    <mergeCell ref="J72:K72"/>
    <mergeCell ref="J71:K71"/>
    <mergeCell ref="AJ75:AL75"/>
    <mergeCell ref="AX74:AY74"/>
    <mergeCell ref="AS75:AU75"/>
    <mergeCell ref="AW78:BA78"/>
    <mergeCell ref="AO78:AV78"/>
    <mergeCell ref="AV75:AW75"/>
    <mergeCell ref="AX75:AY75"/>
    <mergeCell ref="AV74:AW74"/>
    <mergeCell ref="F71:H71"/>
    <mergeCell ref="AS72:AU72"/>
    <mergeCell ref="L74:AF74"/>
    <mergeCell ref="L73:AF73"/>
    <mergeCell ref="L72:AF72"/>
    <mergeCell ref="AG74:AI74"/>
    <mergeCell ref="F73:H73"/>
    <mergeCell ref="AG73:AI73"/>
    <mergeCell ref="AM71:AO71"/>
    <mergeCell ref="AX70:AY70"/>
    <mergeCell ref="BI72:BK72"/>
    <mergeCell ref="BG72:BH72"/>
    <mergeCell ref="BD73:BE73"/>
    <mergeCell ref="BD72:BE72"/>
    <mergeCell ref="BI71:BK71"/>
    <mergeCell ref="AX73:AY73"/>
    <mergeCell ref="AZ70:BA70"/>
    <mergeCell ref="AX71:AY71"/>
    <mergeCell ref="AV73:AW73"/>
    <mergeCell ref="AX72:AY72"/>
    <mergeCell ref="BG61:BH61"/>
    <mergeCell ref="BI60:BK60"/>
    <mergeCell ref="AZ72:BA72"/>
    <mergeCell ref="BG71:BH71"/>
    <mergeCell ref="BD71:BE71"/>
    <mergeCell ref="AZ60:BA60"/>
    <mergeCell ref="BB60:BC60"/>
    <mergeCell ref="BB61:BC61"/>
    <mergeCell ref="D39:F39"/>
    <mergeCell ref="D40:F40"/>
    <mergeCell ref="G40:J40"/>
    <mergeCell ref="G39:J39"/>
    <mergeCell ref="K35:AE35"/>
    <mergeCell ref="AG35:BA35"/>
    <mergeCell ref="AG36:BA36"/>
    <mergeCell ref="AG38:BA38"/>
    <mergeCell ref="K37:AE37"/>
    <mergeCell ref="K38:AE38"/>
    <mergeCell ref="K31:AE31"/>
    <mergeCell ref="BB31:BD31"/>
    <mergeCell ref="K32:AE32"/>
    <mergeCell ref="AG31:BA31"/>
    <mergeCell ref="AP60:AR60"/>
    <mergeCell ref="BE33:BF33"/>
    <mergeCell ref="AG34:BA34"/>
    <mergeCell ref="AG37:BA37"/>
    <mergeCell ref="AG44:BA44"/>
    <mergeCell ref="BB33:BD33"/>
    <mergeCell ref="BB34:BD34"/>
    <mergeCell ref="AG43:BA43"/>
    <mergeCell ref="AG41:BA41"/>
    <mergeCell ref="AP59:AR59"/>
    <mergeCell ref="AP61:AR61"/>
    <mergeCell ref="BE35:BF35"/>
    <mergeCell ref="D34:F34"/>
    <mergeCell ref="G35:J35"/>
    <mergeCell ref="G34:J34"/>
    <mergeCell ref="BE34:BF34"/>
    <mergeCell ref="AJ57:AL57"/>
    <mergeCell ref="AM57:AO57"/>
    <mergeCell ref="K44:AE44"/>
    <mergeCell ref="K42:AE42"/>
    <mergeCell ref="D32:F32"/>
    <mergeCell ref="AG33:BA33"/>
    <mergeCell ref="AG32:BA32"/>
    <mergeCell ref="G33:J33"/>
    <mergeCell ref="G32:J32"/>
    <mergeCell ref="D33:F33"/>
    <mergeCell ref="AX57:AY57"/>
    <mergeCell ref="AZ57:BA57"/>
    <mergeCell ref="AG40:BA40"/>
    <mergeCell ref="K36:AE36"/>
    <mergeCell ref="AG42:BA42"/>
    <mergeCell ref="K41:AE41"/>
    <mergeCell ref="AG39:BA39"/>
    <mergeCell ref="AG47:BA47"/>
    <mergeCell ref="AM49:AO56"/>
    <mergeCell ref="AG57:AI57"/>
    <mergeCell ref="AZ56:BA56"/>
    <mergeCell ref="AX56:AY56"/>
    <mergeCell ref="AP49:AR56"/>
    <mergeCell ref="AS49:AU56"/>
    <mergeCell ref="AS58:AU58"/>
    <mergeCell ref="AP58:AR58"/>
    <mergeCell ref="AP57:AR57"/>
    <mergeCell ref="AV57:AW57"/>
    <mergeCell ref="AV58:AW58"/>
    <mergeCell ref="AS57:AU57"/>
    <mergeCell ref="F60:H60"/>
    <mergeCell ref="B61:E61"/>
    <mergeCell ref="BB36:BD36"/>
    <mergeCell ref="BB35:BD35"/>
    <mergeCell ref="BB40:BD40"/>
    <mergeCell ref="BB38:BD38"/>
    <mergeCell ref="BB42:BD42"/>
    <mergeCell ref="BB56:BC56"/>
    <mergeCell ref="BD59:BE59"/>
    <mergeCell ref="BE46:BF46"/>
    <mergeCell ref="BE37:BF37"/>
    <mergeCell ref="BI56:BK56"/>
    <mergeCell ref="AV56:AW56"/>
    <mergeCell ref="BD56:BH56"/>
    <mergeCell ref="BB47:BD47"/>
    <mergeCell ref="BE47:BF47"/>
    <mergeCell ref="BB41:BD41"/>
    <mergeCell ref="BE41:BF41"/>
    <mergeCell ref="BB43:BD43"/>
    <mergeCell ref="BE43:BF43"/>
    <mergeCell ref="BE45:BF45"/>
    <mergeCell ref="BB44:BD44"/>
    <mergeCell ref="BB58:BC58"/>
    <mergeCell ref="BB57:BC57"/>
    <mergeCell ref="BE42:BF42"/>
    <mergeCell ref="BB39:BD39"/>
    <mergeCell ref="AZ75:BA75"/>
    <mergeCell ref="BD75:BE75"/>
    <mergeCell ref="BB75:BC75"/>
    <mergeCell ref="BB73:BC73"/>
    <mergeCell ref="AZ73:BA73"/>
    <mergeCell ref="BB74:BC74"/>
    <mergeCell ref="AZ74:BA74"/>
    <mergeCell ref="BB45:BD45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S63:AU70"/>
    <mergeCell ref="H94:AB94"/>
    <mergeCell ref="AS71:AU71"/>
    <mergeCell ref="AP75:AR75"/>
    <mergeCell ref="AP74:AR74"/>
    <mergeCell ref="AS74:AU74"/>
    <mergeCell ref="AS73:AU73"/>
    <mergeCell ref="AP73:AR73"/>
    <mergeCell ref="AP72:AR72"/>
    <mergeCell ref="AP71:AR71"/>
    <mergeCell ref="AM72:AO72"/>
    <mergeCell ref="D27:F27"/>
    <mergeCell ref="G43:J43"/>
    <mergeCell ref="K43:AE43"/>
    <mergeCell ref="G36:J36"/>
    <mergeCell ref="G38:J38"/>
    <mergeCell ref="K39:AE39"/>
    <mergeCell ref="K40:AE40"/>
    <mergeCell ref="G37:J37"/>
    <mergeCell ref="G41:J41"/>
    <mergeCell ref="K30:AE30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1968503937007874" bottom="0.1968503937007874" header="0.11811023622047245" footer="0"/>
  <pageSetup horizontalDpi="600" verticalDpi="600" orientation="landscape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15" t="str">
        <f>Ergebniseingabe!B2</f>
        <v>13. Brinker - Cup 2015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14" t="str">
        <f>Ergebniseingabe!B3</f>
        <v>SV Avenwedde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Y3" s="366" t="s">
        <v>0</v>
      </c>
      <c r="AZ3" s="366"/>
      <c r="BA3" s="366"/>
      <c r="BB3" s="366"/>
      <c r="BC3" s="366"/>
      <c r="BD3" s="366"/>
      <c r="BE3" s="366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417" t="str">
        <f>Ergebniseingabe!B4</f>
        <v>Fußballturnier für 2 x 5 Mannschaften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5">
      <c r="C6" s="416">
        <f>Ergebniseingabe!B6</f>
        <v>42015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5">
      <c r="C8" s="381" t="str">
        <f>Ergebniseingabe!B8</f>
        <v>Sporthalle: "Alte Ziegelei" Friedrichsdorfer Straße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5">
      <c r="C11" s="233" t="s">
        <v>51</v>
      </c>
      <c r="D11" s="233"/>
      <c r="E11" s="233"/>
      <c r="F11" s="233"/>
      <c r="G11" s="233"/>
      <c r="H11" s="233"/>
      <c r="I11" s="276">
        <f>Ergebniseingabe!H11</f>
        <v>0.4791666666666667</v>
      </c>
      <c r="J11" s="276"/>
      <c r="K11" s="276"/>
      <c r="L11" s="276"/>
      <c r="M11" s="33" t="s">
        <v>1</v>
      </c>
      <c r="U11" s="42" t="s">
        <v>2</v>
      </c>
      <c r="V11" s="381">
        <f>Ergebniseingabe!U11</f>
        <v>1</v>
      </c>
      <c r="W11" s="381"/>
      <c r="X11" s="43" t="s">
        <v>3</v>
      </c>
      <c r="Y11" s="236">
        <f>Ergebniseingabe!X11</f>
        <v>15</v>
      </c>
      <c r="Z11" s="236"/>
      <c r="AA11" s="236"/>
      <c r="AB11" s="236"/>
      <c r="AC11" s="236"/>
      <c r="AD11" s="313">
        <f>Ergebniseingabe!AC11</f>
      </c>
      <c r="AE11" s="313"/>
      <c r="AF11" s="313"/>
      <c r="AG11" s="313"/>
      <c r="AH11" s="313"/>
      <c r="AI11" s="313"/>
      <c r="AJ11" s="236">
        <f>Ergebniseingabe!AI11</f>
        <v>0</v>
      </c>
      <c r="AK11" s="236"/>
      <c r="AL11" s="236"/>
      <c r="AM11" s="236"/>
      <c r="AN11" s="236"/>
      <c r="AO11" s="233" t="s">
        <v>4</v>
      </c>
      <c r="AP11" s="233"/>
      <c r="AQ11" s="233"/>
      <c r="AR11" s="233"/>
      <c r="AS11" s="233"/>
      <c r="AT11" s="233"/>
      <c r="AU11" s="233"/>
      <c r="AV11" s="233"/>
      <c r="AW11" s="233"/>
      <c r="AX11" s="232">
        <f>Ergebniseingabe!AW11</f>
        <v>3</v>
      </c>
      <c r="AY11" s="232"/>
      <c r="AZ11" s="232"/>
      <c r="BA11" s="232"/>
      <c r="BB11" s="232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5">
      <c r="C14" s="46" t="s">
        <v>5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6.5" thickBot="1">
      <c r="C16" s="523" t="str">
        <f>Ergebniseingabe!B18</f>
        <v>Gruppe A</v>
      </c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5"/>
      <c r="AB16" s="499" t="str">
        <f>Ergebniseingabe!AA18</f>
        <v>Gruppe B</v>
      </c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1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382" t="str">
        <f>Ergebniseingabe!B19</f>
        <v>SV Spexard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4"/>
      <c r="AA17" s="49"/>
      <c r="AB17" s="382" t="str">
        <f>Ergebniseingabe!AA19</f>
        <v>SV Avenwedde</v>
      </c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4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388" t="str">
        <f>Ergebniseingabe!B20</f>
        <v>Vikt. Rietberg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90"/>
      <c r="AA18" s="49"/>
      <c r="AB18" s="388" t="str">
        <f>Ergebniseingabe!AA20</f>
        <v>SCE Gütersloh</v>
      </c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90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388" t="str">
        <f>Ergebniseingabe!B21</f>
        <v>SC Wiedenbrück II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90"/>
      <c r="AA19" s="49"/>
      <c r="AB19" s="388" t="str">
        <f>Ergebniseingabe!AA21</f>
        <v>SC Blankenhagen</v>
      </c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90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388" t="str">
        <f>Ergebniseingabe!B22</f>
        <v>BW 98 Gütersloh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90"/>
      <c r="AA20" s="49"/>
      <c r="AB20" s="388" t="str">
        <f>Ergebniseingabe!AA22</f>
        <v>TuS Friedrichsdorf</v>
      </c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90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385" t="str">
        <f>Ergebniseingabe!B23</f>
        <v>SC Verl II</v>
      </c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AA21" s="49"/>
      <c r="AB21" s="385" t="str">
        <f>Ergebniseingabe!AA23</f>
        <v>SCC Italia Gütersloh</v>
      </c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7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5">
      <c r="C23" s="46" t="s">
        <v>8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521" t="s">
        <v>9</v>
      </c>
      <c r="D25" s="522"/>
      <c r="E25" s="431" t="s">
        <v>10</v>
      </c>
      <c r="F25" s="432"/>
      <c r="G25" s="433"/>
      <c r="H25" s="431" t="s">
        <v>52</v>
      </c>
      <c r="I25" s="432"/>
      <c r="J25" s="432"/>
      <c r="K25" s="433"/>
      <c r="L25" s="431" t="s">
        <v>11</v>
      </c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3"/>
      <c r="BC25" s="463" t="s">
        <v>12</v>
      </c>
      <c r="BD25" s="464"/>
      <c r="BE25" s="464"/>
      <c r="BF25" s="464"/>
      <c r="BG25" s="464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526">
        <v>1</v>
      </c>
      <c r="D26" s="520"/>
      <c r="E26" s="520" t="str">
        <f>Ergebniseingabe!D28</f>
        <v>A</v>
      </c>
      <c r="F26" s="520"/>
      <c r="G26" s="520"/>
      <c r="H26" s="374">
        <f>Ergebniseingabe!G28</f>
        <v>0.4791666666666667</v>
      </c>
      <c r="I26" s="375"/>
      <c r="J26" s="375"/>
      <c r="K26" s="376"/>
      <c r="L26" s="437" t="str">
        <f>Ergebniseingabe!K28</f>
        <v>SC Verl II</v>
      </c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67" t="s">
        <v>14</v>
      </c>
      <c r="AH26" s="434" t="str">
        <f>Ergebniseingabe!AG28</f>
        <v>Vikt. Rietberg</v>
      </c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5"/>
      <c r="BC26" s="487">
        <f>IF(Ergebniseingabe!BB28="","",Ergebniseingabe!BB28)</f>
        <v>2</v>
      </c>
      <c r="BD26" s="488"/>
      <c r="BE26" s="488"/>
      <c r="BF26" s="406">
        <f>IF(Ergebniseingabe!BE28="","",Ergebniseingabe!BE28)</f>
        <v>2</v>
      </c>
      <c r="BG26" s="406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436">
        <v>2</v>
      </c>
      <c r="D27" s="373"/>
      <c r="E27" s="373" t="str">
        <f>Ergebniseingabe!D29</f>
        <v>B</v>
      </c>
      <c r="F27" s="373"/>
      <c r="G27" s="373"/>
      <c r="H27" s="374">
        <f>Ergebniseingabe!G29</f>
        <v>0.4916666666666667</v>
      </c>
      <c r="I27" s="375"/>
      <c r="J27" s="375"/>
      <c r="K27" s="376"/>
      <c r="L27" s="377" t="str">
        <f>Ergebniseingabe!K29</f>
        <v>SCC Italia Gütersloh</v>
      </c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52" t="s">
        <v>14</v>
      </c>
      <c r="AH27" s="371" t="str">
        <f>Ergebniseingabe!AG29</f>
        <v>SCE Gütersloh</v>
      </c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2"/>
      <c r="BC27" s="527">
        <f>IF(Ergebniseingabe!BB29="","",Ergebniseingabe!BB29)</f>
        <v>1</v>
      </c>
      <c r="BD27" s="528"/>
      <c r="BE27" s="528"/>
      <c r="BF27" s="560">
        <f>IF(Ergebniseingabe!BE29="","",Ergebniseingabe!BE29)</f>
        <v>2</v>
      </c>
      <c r="BG27" s="560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436">
        <v>3</v>
      </c>
      <c r="D28" s="373"/>
      <c r="E28" s="373" t="str">
        <f>Ergebniseingabe!D30</f>
        <v>A</v>
      </c>
      <c r="F28" s="373"/>
      <c r="G28" s="373"/>
      <c r="H28" s="374">
        <f>Ergebniseingabe!G30</f>
        <v>0.5041666666666667</v>
      </c>
      <c r="I28" s="375"/>
      <c r="J28" s="375"/>
      <c r="K28" s="376"/>
      <c r="L28" s="377" t="str">
        <f>Ergebniseingabe!K30</f>
        <v>SV Spexard</v>
      </c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52" t="s">
        <v>14</v>
      </c>
      <c r="AH28" s="371" t="str">
        <f>Ergebniseingabe!AG30</f>
        <v>SC Wiedenbrück II</v>
      </c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2"/>
      <c r="BC28" s="527">
        <f>IF(Ergebniseingabe!BB30="","",Ergebniseingabe!BB30)</f>
        <v>4</v>
      </c>
      <c r="BD28" s="528"/>
      <c r="BE28" s="528"/>
      <c r="BF28" s="560">
        <f>IF(Ergebniseingabe!BE30="","",Ergebniseingabe!BE30)</f>
        <v>0</v>
      </c>
      <c r="BG28" s="560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436">
        <v>4</v>
      </c>
      <c r="D29" s="373"/>
      <c r="E29" s="373" t="str">
        <f>Ergebniseingabe!D31</f>
        <v>B</v>
      </c>
      <c r="F29" s="373"/>
      <c r="G29" s="373"/>
      <c r="H29" s="374">
        <f>Ergebniseingabe!G31</f>
        <v>0.5166666666666666</v>
      </c>
      <c r="I29" s="375"/>
      <c r="J29" s="375"/>
      <c r="K29" s="376"/>
      <c r="L29" s="377" t="str">
        <f>Ergebniseingabe!K31</f>
        <v>SV Avenwedde</v>
      </c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52" t="s">
        <v>14</v>
      </c>
      <c r="AH29" s="371" t="str">
        <f>Ergebniseingabe!AG31</f>
        <v>SC Blankenhagen</v>
      </c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2"/>
      <c r="BC29" s="527">
        <f>IF(Ergebniseingabe!BB31="","",Ergebniseingabe!BB31)</f>
        <v>4</v>
      </c>
      <c r="BD29" s="528"/>
      <c r="BE29" s="528"/>
      <c r="BF29" s="560">
        <f>IF(Ergebniseingabe!BE31="","",Ergebniseingabe!BE31)</f>
        <v>0</v>
      </c>
      <c r="BG29" s="560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436">
        <v>5</v>
      </c>
      <c r="D30" s="373"/>
      <c r="E30" s="373" t="str">
        <f>Ergebniseingabe!D32</f>
        <v>A</v>
      </c>
      <c r="F30" s="373"/>
      <c r="G30" s="373"/>
      <c r="H30" s="374">
        <f>Ergebniseingabe!G32</f>
        <v>0.5291666666666666</v>
      </c>
      <c r="I30" s="375"/>
      <c r="J30" s="375"/>
      <c r="K30" s="376"/>
      <c r="L30" s="377" t="str">
        <f>Ergebniseingabe!K32</f>
        <v>Vikt. Rietberg</v>
      </c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52" t="s">
        <v>14</v>
      </c>
      <c r="AH30" s="371" t="str">
        <f>Ergebniseingabe!AG32</f>
        <v>BW 98 Gütersloh</v>
      </c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2"/>
      <c r="BC30" s="527">
        <f>IF(Ergebniseingabe!BB32="","",Ergebniseingabe!BB32)</f>
        <v>1</v>
      </c>
      <c r="BD30" s="528"/>
      <c r="BE30" s="528"/>
      <c r="BF30" s="560">
        <f>IF(Ergebniseingabe!BE32="","",Ergebniseingabe!BE32)</f>
        <v>5</v>
      </c>
      <c r="BG30" s="560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436">
        <v>6</v>
      </c>
      <c r="D31" s="373"/>
      <c r="E31" s="373" t="str">
        <f>Ergebniseingabe!D33</f>
        <v>B</v>
      </c>
      <c r="F31" s="373"/>
      <c r="G31" s="373"/>
      <c r="H31" s="374">
        <f>Ergebniseingabe!G33</f>
        <v>0.5416666666666665</v>
      </c>
      <c r="I31" s="375"/>
      <c r="J31" s="375"/>
      <c r="K31" s="376"/>
      <c r="L31" s="377" t="str">
        <f>Ergebniseingabe!K33</f>
        <v>SCE Gütersloh</v>
      </c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52" t="s">
        <v>14</v>
      </c>
      <c r="AH31" s="371" t="str">
        <f>Ergebniseingabe!AG33</f>
        <v>TuS Friedrichsdorf</v>
      </c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2"/>
      <c r="BC31" s="527">
        <f>IF(Ergebniseingabe!BB33="","",Ergebniseingabe!BB33)</f>
        <v>5</v>
      </c>
      <c r="BD31" s="528"/>
      <c r="BE31" s="528"/>
      <c r="BF31" s="560">
        <f>IF(Ergebniseingabe!BE33="","",Ergebniseingabe!BE33)</f>
        <v>6</v>
      </c>
      <c r="BG31" s="560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436">
        <v>7</v>
      </c>
      <c r="D32" s="373"/>
      <c r="E32" s="373" t="str">
        <f>Ergebniseingabe!D34</f>
        <v>A</v>
      </c>
      <c r="F32" s="373"/>
      <c r="G32" s="373"/>
      <c r="H32" s="374">
        <f>Ergebniseingabe!G34</f>
        <v>0.5541666666666665</v>
      </c>
      <c r="I32" s="375"/>
      <c r="J32" s="375"/>
      <c r="K32" s="376"/>
      <c r="L32" s="377" t="str">
        <f>Ergebniseingabe!K34</f>
        <v>SC Wiedenbrück II</v>
      </c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52" t="s">
        <v>14</v>
      </c>
      <c r="AH32" s="371" t="str">
        <f>Ergebniseingabe!AG34</f>
        <v>SC Verl II</v>
      </c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2"/>
      <c r="BC32" s="527">
        <f>IF(Ergebniseingabe!BB34="","",Ergebniseingabe!BB34)</f>
        <v>2</v>
      </c>
      <c r="BD32" s="528"/>
      <c r="BE32" s="528"/>
      <c r="BF32" s="560">
        <f>IF(Ergebniseingabe!BE34="","",Ergebniseingabe!BE34)</f>
        <v>2</v>
      </c>
      <c r="BG32" s="560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436">
        <v>8</v>
      </c>
      <c r="D33" s="373"/>
      <c r="E33" s="373" t="str">
        <f>Ergebniseingabe!D35</f>
        <v>B</v>
      </c>
      <c r="F33" s="373"/>
      <c r="G33" s="373"/>
      <c r="H33" s="374">
        <f>Ergebniseingabe!G35</f>
        <v>0.5666666666666664</v>
      </c>
      <c r="I33" s="375"/>
      <c r="J33" s="375"/>
      <c r="K33" s="376"/>
      <c r="L33" s="377" t="str">
        <f>Ergebniseingabe!K35</f>
        <v>SC Blankenhagen</v>
      </c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52" t="s">
        <v>14</v>
      </c>
      <c r="AH33" s="371" t="str">
        <f>Ergebniseingabe!AG35</f>
        <v>SCC Italia Gütersloh</v>
      </c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2"/>
      <c r="BC33" s="527">
        <f>IF(Ergebniseingabe!BB35="","",Ergebniseingabe!BB35)</f>
        <v>1</v>
      </c>
      <c r="BD33" s="528"/>
      <c r="BE33" s="528"/>
      <c r="BF33" s="560">
        <f>IF(Ergebniseingabe!BE35="","",Ergebniseingabe!BE35)</f>
        <v>4</v>
      </c>
      <c r="BG33" s="560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436">
        <v>9</v>
      </c>
      <c r="D34" s="373"/>
      <c r="E34" s="373" t="str">
        <f>Ergebniseingabe!D36</f>
        <v>A</v>
      </c>
      <c r="F34" s="373"/>
      <c r="G34" s="373"/>
      <c r="H34" s="374">
        <f>Ergebniseingabe!G36</f>
        <v>0.5791666666666664</v>
      </c>
      <c r="I34" s="375"/>
      <c r="J34" s="375"/>
      <c r="K34" s="376"/>
      <c r="L34" s="377" t="str">
        <f>Ergebniseingabe!K36</f>
        <v>BW 98 Gütersloh</v>
      </c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52" t="s">
        <v>14</v>
      </c>
      <c r="AH34" s="371" t="str">
        <f>Ergebniseingabe!AG36</f>
        <v>SV Spexard</v>
      </c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2"/>
      <c r="BC34" s="527">
        <f>IF(Ergebniseingabe!BB36="","",Ergebniseingabe!BB36)</f>
        <v>2</v>
      </c>
      <c r="BD34" s="528"/>
      <c r="BE34" s="528"/>
      <c r="BF34" s="560">
        <f>IF(Ergebniseingabe!BE36="","",Ergebniseingabe!BE36)</f>
        <v>3</v>
      </c>
      <c r="BG34" s="560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436">
        <v>10</v>
      </c>
      <c r="D35" s="373"/>
      <c r="E35" s="373" t="str">
        <f>Ergebniseingabe!D37</f>
        <v>B</v>
      </c>
      <c r="F35" s="373"/>
      <c r="G35" s="373"/>
      <c r="H35" s="374">
        <f>Ergebniseingabe!G37</f>
        <v>0.5916666666666663</v>
      </c>
      <c r="I35" s="375"/>
      <c r="J35" s="375"/>
      <c r="K35" s="376"/>
      <c r="L35" s="377" t="str">
        <f>Ergebniseingabe!K37</f>
        <v>TuS Friedrichsdorf</v>
      </c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52" t="s">
        <v>14</v>
      </c>
      <c r="AH35" s="371" t="str">
        <f>Ergebniseingabe!AG37</f>
        <v>SV Avenwedde</v>
      </c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2"/>
      <c r="BC35" s="527">
        <f>IF(Ergebniseingabe!BB37="","",Ergebniseingabe!BB37)</f>
        <v>2</v>
      </c>
      <c r="BD35" s="528"/>
      <c r="BE35" s="528"/>
      <c r="BF35" s="560">
        <f>IF(Ergebniseingabe!BE37="","",Ergebniseingabe!BE37)</f>
        <v>1</v>
      </c>
      <c r="BG35" s="560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436">
        <v>11</v>
      </c>
      <c r="D36" s="373"/>
      <c r="E36" s="373" t="str">
        <f>Ergebniseingabe!D38</f>
        <v>A</v>
      </c>
      <c r="F36" s="373"/>
      <c r="G36" s="373"/>
      <c r="H36" s="374">
        <f>Ergebniseingabe!G38</f>
        <v>0.6041666666666663</v>
      </c>
      <c r="I36" s="375"/>
      <c r="J36" s="375"/>
      <c r="K36" s="376"/>
      <c r="L36" s="377" t="str">
        <f>Ergebniseingabe!K38</f>
        <v>Vikt. Rietberg</v>
      </c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52" t="s">
        <v>14</v>
      </c>
      <c r="AH36" s="371" t="str">
        <f>Ergebniseingabe!AG38</f>
        <v>SC Wiedenbrück II</v>
      </c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2"/>
      <c r="BC36" s="527">
        <f>IF(Ergebniseingabe!BB38="","",Ergebniseingabe!BB38)</f>
        <v>1</v>
      </c>
      <c r="BD36" s="528"/>
      <c r="BE36" s="528"/>
      <c r="BF36" s="560">
        <f>IF(Ergebniseingabe!BE38="","",Ergebniseingabe!BE38)</f>
        <v>1</v>
      </c>
      <c r="BG36" s="560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436">
        <v>12</v>
      </c>
      <c r="D37" s="373"/>
      <c r="E37" s="373" t="str">
        <f>Ergebniseingabe!D39</f>
        <v>B</v>
      </c>
      <c r="F37" s="373"/>
      <c r="G37" s="373"/>
      <c r="H37" s="374">
        <f>Ergebniseingabe!G39</f>
        <v>0.6166666666666663</v>
      </c>
      <c r="I37" s="375"/>
      <c r="J37" s="375"/>
      <c r="K37" s="376"/>
      <c r="L37" s="377" t="str">
        <f>Ergebniseingabe!K39</f>
        <v>SCE Gütersloh</v>
      </c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52" t="s">
        <v>14</v>
      </c>
      <c r="AH37" s="371" t="str">
        <f>Ergebniseingabe!AG39</f>
        <v>SC Blankenhagen</v>
      </c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2"/>
      <c r="BC37" s="527">
        <f>IF(Ergebniseingabe!BB39="","",Ergebniseingabe!BB39)</f>
        <v>4</v>
      </c>
      <c r="BD37" s="528"/>
      <c r="BE37" s="528"/>
      <c r="BF37" s="560">
        <f>IF(Ergebniseingabe!BE39="","",Ergebniseingabe!BE39)</f>
        <v>2</v>
      </c>
      <c r="BG37" s="560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436">
        <v>13</v>
      </c>
      <c r="D38" s="373"/>
      <c r="E38" s="373" t="str">
        <f>Ergebniseingabe!D40</f>
        <v>A</v>
      </c>
      <c r="F38" s="373"/>
      <c r="G38" s="373"/>
      <c r="H38" s="374">
        <f>Ergebniseingabe!G40</f>
        <v>0.6291666666666662</v>
      </c>
      <c r="I38" s="375"/>
      <c r="J38" s="375"/>
      <c r="K38" s="376"/>
      <c r="L38" s="377" t="str">
        <f>Ergebniseingabe!K40</f>
        <v>BW 98 Gütersloh</v>
      </c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52" t="s">
        <v>14</v>
      </c>
      <c r="AH38" s="371" t="str">
        <f>Ergebniseingabe!AG40</f>
        <v>SC Verl II</v>
      </c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2"/>
      <c r="BC38" s="527">
        <f>IF(Ergebniseingabe!BB40="","",Ergebniseingabe!BB40)</f>
        <v>1</v>
      </c>
      <c r="BD38" s="528"/>
      <c r="BE38" s="528"/>
      <c r="BF38" s="560">
        <f>IF(Ergebniseingabe!BE40="","",Ergebniseingabe!BE40)</f>
        <v>0</v>
      </c>
      <c r="BG38" s="560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436">
        <v>14</v>
      </c>
      <c r="D39" s="373"/>
      <c r="E39" s="373" t="str">
        <f>Ergebniseingabe!D41</f>
        <v>B</v>
      </c>
      <c r="F39" s="373"/>
      <c r="G39" s="373"/>
      <c r="H39" s="374">
        <f>Ergebniseingabe!G41</f>
        <v>0.6416666666666662</v>
      </c>
      <c r="I39" s="375"/>
      <c r="J39" s="375"/>
      <c r="K39" s="376"/>
      <c r="L39" s="377" t="str">
        <f>Ergebniseingabe!K41</f>
        <v>TuS Friedrichsdorf</v>
      </c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52" t="s">
        <v>14</v>
      </c>
      <c r="AH39" s="371" t="str">
        <f>Ergebniseingabe!AG41</f>
        <v>SCC Italia Gütersloh</v>
      </c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2"/>
      <c r="BC39" s="527">
        <f>IF(Ergebniseingabe!BB41="","",Ergebniseingabe!BB41)</f>
        <v>4</v>
      </c>
      <c r="BD39" s="528"/>
      <c r="BE39" s="528"/>
      <c r="BF39" s="560">
        <f>IF(Ergebniseingabe!BE41="","",Ergebniseingabe!BE41)</f>
        <v>3</v>
      </c>
      <c r="BG39" s="560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436">
        <v>15</v>
      </c>
      <c r="D40" s="373"/>
      <c r="E40" s="373" t="str">
        <f>Ergebniseingabe!D42</f>
        <v>A</v>
      </c>
      <c r="F40" s="373"/>
      <c r="G40" s="373"/>
      <c r="H40" s="374">
        <f>Ergebniseingabe!G42</f>
        <v>0.6541666666666661</v>
      </c>
      <c r="I40" s="375"/>
      <c r="J40" s="375"/>
      <c r="K40" s="376"/>
      <c r="L40" s="377" t="str">
        <f>Ergebniseingabe!K42</f>
        <v>SV Spexard</v>
      </c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52" t="s">
        <v>14</v>
      </c>
      <c r="AH40" s="371" t="str">
        <f>Ergebniseingabe!AG42</f>
        <v>Vikt. Rietberg</v>
      </c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2"/>
      <c r="BC40" s="527">
        <f>IF(Ergebniseingabe!BB42="","",Ergebniseingabe!BB42)</f>
        <v>1</v>
      </c>
      <c r="BD40" s="528"/>
      <c r="BE40" s="528"/>
      <c r="BF40" s="560">
        <f>IF(Ergebniseingabe!BE42="","",Ergebniseingabe!BE42)</f>
        <v>1</v>
      </c>
      <c r="BG40" s="560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436">
        <v>16</v>
      </c>
      <c r="D41" s="373"/>
      <c r="E41" s="373" t="str">
        <f>Ergebniseingabe!D43</f>
        <v>B</v>
      </c>
      <c r="F41" s="373"/>
      <c r="G41" s="373"/>
      <c r="H41" s="374">
        <f>Ergebniseingabe!G43</f>
        <v>0.6666666666666661</v>
      </c>
      <c r="I41" s="375"/>
      <c r="J41" s="375"/>
      <c r="K41" s="376"/>
      <c r="L41" s="377" t="str">
        <f>Ergebniseingabe!K43</f>
        <v>SV Avenwedde</v>
      </c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52" t="s">
        <v>14</v>
      </c>
      <c r="AH41" s="371" t="str">
        <f>Ergebniseingabe!AG43</f>
        <v>SCE Gütersloh</v>
      </c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2"/>
      <c r="BC41" s="527">
        <f>IF(Ergebniseingabe!BB43="","",Ergebniseingabe!BB43)</f>
        <v>4</v>
      </c>
      <c r="BD41" s="528"/>
      <c r="BE41" s="528"/>
      <c r="BF41" s="560">
        <f>IF(Ergebniseingabe!BE43="","",Ergebniseingabe!BE43)</f>
        <v>0</v>
      </c>
      <c r="BG41" s="560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436">
        <v>17</v>
      </c>
      <c r="D42" s="373"/>
      <c r="E42" s="373" t="str">
        <f>Ergebniseingabe!D44</f>
        <v>A</v>
      </c>
      <c r="F42" s="373"/>
      <c r="G42" s="373"/>
      <c r="H42" s="374">
        <f>Ergebniseingabe!G44</f>
        <v>0.679166666666666</v>
      </c>
      <c r="I42" s="375"/>
      <c r="J42" s="375"/>
      <c r="K42" s="376"/>
      <c r="L42" s="377" t="str">
        <f>Ergebniseingabe!K44</f>
        <v>SC Wiedenbrück II</v>
      </c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52" t="s">
        <v>14</v>
      </c>
      <c r="AH42" s="371" t="str">
        <f>Ergebniseingabe!AG44</f>
        <v>BW 98 Gütersloh</v>
      </c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2"/>
      <c r="BC42" s="527">
        <f>IF(Ergebniseingabe!BB44="","",Ergebniseingabe!BB44)</f>
        <v>1</v>
      </c>
      <c r="BD42" s="528"/>
      <c r="BE42" s="528"/>
      <c r="BF42" s="560">
        <f>IF(Ergebniseingabe!BE44="","",Ergebniseingabe!BE44)</f>
        <v>0</v>
      </c>
      <c r="BG42" s="560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436">
        <v>18</v>
      </c>
      <c r="D43" s="373"/>
      <c r="E43" s="373" t="str">
        <f>Ergebniseingabe!D45</f>
        <v>B</v>
      </c>
      <c r="F43" s="373"/>
      <c r="G43" s="373"/>
      <c r="H43" s="374">
        <f>Ergebniseingabe!G45</f>
        <v>0.691666666666666</v>
      </c>
      <c r="I43" s="375"/>
      <c r="J43" s="375"/>
      <c r="K43" s="376"/>
      <c r="L43" s="377" t="str">
        <f>Ergebniseingabe!K45</f>
        <v>SC Blankenhagen</v>
      </c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52" t="s">
        <v>14</v>
      </c>
      <c r="AH43" s="371" t="str">
        <f>Ergebniseingabe!AG45</f>
        <v>TuS Friedrichsdorf</v>
      </c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2"/>
      <c r="BC43" s="527">
        <f>IF(Ergebniseingabe!BB45="","",Ergebniseingabe!BB45)</f>
        <v>0</v>
      </c>
      <c r="BD43" s="528"/>
      <c r="BE43" s="528"/>
      <c r="BF43" s="560">
        <f>IF(Ergebniseingabe!BE45="","",Ergebniseingabe!BE45)</f>
        <v>3</v>
      </c>
      <c r="BG43" s="560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436">
        <v>19</v>
      </c>
      <c r="D44" s="373"/>
      <c r="E44" s="373" t="str">
        <f>Ergebniseingabe!D46</f>
        <v>A</v>
      </c>
      <c r="F44" s="373"/>
      <c r="G44" s="373"/>
      <c r="H44" s="374">
        <f>Ergebniseingabe!G46</f>
        <v>0.7041666666666659</v>
      </c>
      <c r="I44" s="375"/>
      <c r="J44" s="375"/>
      <c r="K44" s="376"/>
      <c r="L44" s="377" t="str">
        <f>Ergebniseingabe!K46</f>
        <v>SC Verl II</v>
      </c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52" t="s">
        <v>14</v>
      </c>
      <c r="AH44" s="371" t="str">
        <f>Ergebniseingabe!AG46</f>
        <v>SV Spexard</v>
      </c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2"/>
      <c r="BC44" s="527">
        <f>IF(Ergebniseingabe!BB46="","",Ergebniseingabe!BB46)</f>
        <v>1</v>
      </c>
      <c r="BD44" s="528"/>
      <c r="BE44" s="528"/>
      <c r="BF44" s="560">
        <f>IF(Ergebniseingabe!BE46="","",Ergebniseingabe!BE46)</f>
        <v>1</v>
      </c>
      <c r="BG44" s="560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529">
        <v>20</v>
      </c>
      <c r="D45" s="530"/>
      <c r="E45" s="530" t="str">
        <f>Ergebniseingabe!D47</f>
        <v>B</v>
      </c>
      <c r="F45" s="530"/>
      <c r="G45" s="530"/>
      <c r="H45" s="557">
        <f>Ergebniseingabe!G47</f>
        <v>0.7166666666666659</v>
      </c>
      <c r="I45" s="558"/>
      <c r="J45" s="558"/>
      <c r="K45" s="559"/>
      <c r="L45" s="563" t="str">
        <f>Ergebniseingabe!K47</f>
        <v>SCC Italia Gütersloh</v>
      </c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62" t="s">
        <v>14</v>
      </c>
      <c r="AH45" s="546" t="str">
        <f>Ergebniseingabe!AG47</f>
        <v>SV Avenwedde</v>
      </c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  <c r="BA45" s="546"/>
      <c r="BB45" s="547"/>
      <c r="BC45" s="561">
        <f>IF(Ergebniseingabe!BB47="","",Ergebniseingabe!BB47)</f>
        <v>0</v>
      </c>
      <c r="BD45" s="562"/>
      <c r="BE45" s="562"/>
      <c r="BF45" s="492">
        <f>IF(Ergebniseingabe!BE47="","",Ergebniseingabe!BE47)</f>
        <v>1</v>
      </c>
      <c r="BG45" s="492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15" t="str">
        <f>Ergebniseingabe!B2</f>
        <v>13. Brinker - Cup 2015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87"/>
      <c r="BD48" s="366" t="s">
        <v>0</v>
      </c>
      <c r="BE48" s="366"/>
      <c r="BF48" s="366"/>
      <c r="BG48" s="366"/>
      <c r="BH48" s="366"/>
      <c r="BI48" s="366"/>
      <c r="BJ48" s="366"/>
    </row>
    <row r="49" spans="3:60" ht="27">
      <c r="C49" s="414" t="str">
        <f>Ergebniseingabe!B3</f>
        <v>SV Avenwedde</v>
      </c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5.75" thickBot="1">
      <c r="C51" s="46" t="s">
        <v>54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349" t="str">
        <f>M60</f>
        <v>SV Spexard</v>
      </c>
      <c r="AI52" s="206"/>
      <c r="AJ52" s="206"/>
      <c r="AK52" s="206" t="str">
        <f>M61</f>
        <v>BW 98 Gütersloh</v>
      </c>
      <c r="AL52" s="206"/>
      <c r="AM52" s="206"/>
      <c r="AN52" s="206" t="str">
        <f>M62</f>
        <v>SC Wiedenbrück II</v>
      </c>
      <c r="AO52" s="206"/>
      <c r="AP52" s="206"/>
      <c r="AQ52" s="206" t="str">
        <f>M63</f>
        <v>SC Verl II</v>
      </c>
      <c r="AR52" s="206"/>
      <c r="AS52" s="206"/>
      <c r="AT52" s="206" t="str">
        <f>M64</f>
        <v>Vikt. Rietberg</v>
      </c>
      <c r="AU52" s="206"/>
      <c r="AV52" s="209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350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10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350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10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350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10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350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10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350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10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263" t="s">
        <v>16</v>
      </c>
      <c r="D58" s="263"/>
      <c r="E58" s="263"/>
      <c r="F58" s="263"/>
      <c r="G58" s="263"/>
      <c r="H58" s="263"/>
      <c r="I58" s="263"/>
      <c r="AH58" s="350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10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556" t="s">
        <v>17</v>
      </c>
      <c r="D59" s="556"/>
      <c r="E59" s="556"/>
      <c r="F59" s="556"/>
      <c r="G59" s="556" t="s">
        <v>18</v>
      </c>
      <c r="H59" s="556"/>
      <c r="I59" s="556"/>
      <c r="K59" s="502" t="str">
        <f>IF(L127=0,"Gruppe A",IF(B127&lt;&gt;L127,"es liegen nicht alle Ergebnisse vor","Gruppe A"))</f>
        <v>Gruppe A</v>
      </c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351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11"/>
      <c r="AW59" s="466" t="s">
        <v>19</v>
      </c>
      <c r="AX59" s="553"/>
      <c r="AY59" s="465" t="s">
        <v>20</v>
      </c>
      <c r="AZ59" s="553"/>
      <c r="BA59" s="465" t="s">
        <v>21</v>
      </c>
      <c r="BB59" s="553"/>
      <c r="BC59" s="465" t="s">
        <v>22</v>
      </c>
      <c r="BD59" s="553"/>
      <c r="BE59" s="465" t="s">
        <v>23</v>
      </c>
      <c r="BF59" s="466"/>
      <c r="BG59" s="466"/>
      <c r="BH59" s="466"/>
      <c r="BI59" s="553"/>
      <c r="BJ59" s="465" t="s">
        <v>24</v>
      </c>
      <c r="BK59" s="466"/>
      <c r="BL59" s="466"/>
      <c r="BM59" s="465" t="s">
        <v>25</v>
      </c>
      <c r="BN59" s="466"/>
      <c r="BO59" s="467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378">
        <f>IF(Ergebniseingabe!B57="","",Ergebniseingabe!B57)</f>
      </c>
      <c r="D60" s="378"/>
      <c r="E60" s="378"/>
      <c r="F60" s="378"/>
      <c r="G60" s="378">
        <f>IF(Ergebniseingabe!F57="","",Ergebniseingabe!F57)</f>
      </c>
      <c r="H60" s="378"/>
      <c r="I60" s="378"/>
      <c r="K60" s="379">
        <f>Ergebniseingabe!J57</f>
        <v>1</v>
      </c>
      <c r="L60" s="380"/>
      <c r="M60" s="440" t="str">
        <f>Ergebniseingabe!L57</f>
        <v>SV Spexard</v>
      </c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12"/>
      <c r="AI60" s="412"/>
      <c r="AJ60" s="413"/>
      <c r="AK60" s="550" t="str">
        <f>Ergebniseingabe!AJ57</f>
        <v>3:2</v>
      </c>
      <c r="AL60" s="551"/>
      <c r="AM60" s="552"/>
      <c r="AN60" s="550" t="str">
        <f>Ergebniseingabe!AM57</f>
        <v>4:0</v>
      </c>
      <c r="AO60" s="551"/>
      <c r="AP60" s="552"/>
      <c r="AQ60" s="550" t="str">
        <f>Ergebniseingabe!AP57</f>
        <v>1:1</v>
      </c>
      <c r="AR60" s="551"/>
      <c r="AS60" s="552"/>
      <c r="AT60" s="548" t="str">
        <f>Ergebniseingabe!AS57</f>
        <v>1:1</v>
      </c>
      <c r="AU60" s="549"/>
      <c r="AV60" s="549"/>
      <c r="AW60" s="470">
        <f>Ergebniseingabe!AV57</f>
        <v>4</v>
      </c>
      <c r="AX60" s="471"/>
      <c r="AY60" s="472">
        <f>Ergebniseingabe!AX57</f>
        <v>2</v>
      </c>
      <c r="AZ60" s="472"/>
      <c r="BA60" s="472">
        <f>Ergebniseingabe!AZ57</f>
        <v>2</v>
      </c>
      <c r="BB60" s="472"/>
      <c r="BC60" s="472">
        <f>Ergebniseingabe!BB57</f>
        <v>0</v>
      </c>
      <c r="BD60" s="472"/>
      <c r="BE60" s="472">
        <f>Ergebniseingabe!BD57</f>
        <v>9</v>
      </c>
      <c r="BF60" s="460"/>
      <c r="BG60" s="54" t="str">
        <f>Ergebniseingabe!BF57</f>
        <v>:</v>
      </c>
      <c r="BH60" s="544">
        <f>Ergebniseingabe!BG57</f>
        <v>4</v>
      </c>
      <c r="BI60" s="472"/>
      <c r="BJ60" s="468">
        <f>Ergebniseingabe!BI57</f>
        <v>5</v>
      </c>
      <c r="BK60" s="468"/>
      <c r="BL60" s="469"/>
      <c r="BM60" s="460">
        <f>Ergebniseingabe!BL57</f>
        <v>8</v>
      </c>
      <c r="BN60" s="461"/>
      <c r="BO60" s="46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378">
        <f>IF(Ergebniseingabe!B58="","",Ergebniseingabe!B58)</f>
      </c>
      <c r="D61" s="378"/>
      <c r="E61" s="378"/>
      <c r="F61" s="378"/>
      <c r="G61" s="378">
        <f>IF(Ergebniseingabe!F58="","",Ergebniseingabe!F58)</f>
      </c>
      <c r="H61" s="378"/>
      <c r="I61" s="378"/>
      <c r="K61" s="554">
        <f>Ergebniseingabe!J58</f>
        <v>2</v>
      </c>
      <c r="L61" s="555"/>
      <c r="M61" s="438" t="str">
        <f>Ergebniseingabe!L58</f>
        <v>BW 98 Gütersloh</v>
      </c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10" t="str">
        <f>Ergebniseingabe!AG58</f>
        <v>2:3</v>
      </c>
      <c r="AI61" s="410"/>
      <c r="AJ61" s="411"/>
      <c r="AK61" s="418"/>
      <c r="AL61" s="419"/>
      <c r="AM61" s="420"/>
      <c r="AN61" s="407" t="str">
        <f>Ergebniseingabe!AM58</f>
        <v>0:1</v>
      </c>
      <c r="AO61" s="408"/>
      <c r="AP61" s="409"/>
      <c r="AQ61" s="407" t="str">
        <f>Ergebniseingabe!AP58</f>
        <v>1:0</v>
      </c>
      <c r="AR61" s="408"/>
      <c r="AS61" s="409"/>
      <c r="AT61" s="444" t="str">
        <f>Ergebniseingabe!AS58</f>
        <v>5:1</v>
      </c>
      <c r="AU61" s="410"/>
      <c r="AV61" s="410"/>
      <c r="AW61" s="455">
        <f>Ergebniseingabe!AV58</f>
        <v>4</v>
      </c>
      <c r="AX61" s="456"/>
      <c r="AY61" s="454">
        <f>Ergebniseingabe!AX58</f>
        <v>2</v>
      </c>
      <c r="AZ61" s="454"/>
      <c r="BA61" s="454">
        <f>Ergebniseingabe!AZ58</f>
        <v>0</v>
      </c>
      <c r="BB61" s="454"/>
      <c r="BC61" s="454">
        <f>Ergebniseingabe!BB58</f>
        <v>2</v>
      </c>
      <c r="BD61" s="454"/>
      <c r="BE61" s="454">
        <f>Ergebniseingabe!BD58</f>
        <v>8</v>
      </c>
      <c r="BF61" s="451"/>
      <c r="BG61" s="55" t="str">
        <f>Ergebniseingabe!BF58</f>
        <v>:</v>
      </c>
      <c r="BH61" s="537">
        <f>Ergebniseingabe!BG58</f>
        <v>5</v>
      </c>
      <c r="BI61" s="454"/>
      <c r="BJ61" s="542">
        <f>Ergebniseingabe!BI58</f>
        <v>3</v>
      </c>
      <c r="BK61" s="542"/>
      <c r="BL61" s="543"/>
      <c r="BM61" s="451">
        <f>Ergebniseingabe!BL58</f>
        <v>6</v>
      </c>
      <c r="BN61" s="452"/>
      <c r="BO61" s="453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378">
        <f>IF(Ergebniseingabe!B59="","",Ergebniseingabe!B59)</f>
      </c>
      <c r="D62" s="378"/>
      <c r="E62" s="378"/>
      <c r="F62" s="378"/>
      <c r="G62" s="378">
        <f>IF(Ergebniseingabe!F59="","",Ergebniseingabe!F59)</f>
      </c>
      <c r="H62" s="378"/>
      <c r="I62" s="378"/>
      <c r="K62" s="554">
        <f>Ergebniseingabe!J59</f>
        <v>3</v>
      </c>
      <c r="L62" s="555"/>
      <c r="M62" s="438" t="str">
        <f>Ergebniseingabe!L59</f>
        <v>SC Wiedenbrück II</v>
      </c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10" t="str">
        <f>Ergebniseingabe!AG59</f>
        <v>0:4</v>
      </c>
      <c r="AI62" s="410"/>
      <c r="AJ62" s="411"/>
      <c r="AK62" s="407" t="str">
        <f>Ergebniseingabe!AJ59</f>
        <v>1:0</v>
      </c>
      <c r="AL62" s="408"/>
      <c r="AM62" s="409"/>
      <c r="AN62" s="418"/>
      <c r="AO62" s="419"/>
      <c r="AP62" s="420"/>
      <c r="AQ62" s="407" t="str">
        <f>Ergebniseingabe!AP59</f>
        <v>2:2</v>
      </c>
      <c r="AR62" s="408"/>
      <c r="AS62" s="409"/>
      <c r="AT62" s="444" t="str">
        <f>Ergebniseingabe!AS59</f>
        <v>1:1</v>
      </c>
      <c r="AU62" s="410"/>
      <c r="AV62" s="410"/>
      <c r="AW62" s="455">
        <f>Ergebniseingabe!AV59</f>
        <v>4</v>
      </c>
      <c r="AX62" s="456"/>
      <c r="AY62" s="454">
        <f>Ergebniseingabe!AX59</f>
        <v>1</v>
      </c>
      <c r="AZ62" s="454"/>
      <c r="BA62" s="454">
        <f>Ergebniseingabe!AZ59</f>
        <v>2</v>
      </c>
      <c r="BB62" s="454"/>
      <c r="BC62" s="454">
        <f>Ergebniseingabe!BB59</f>
        <v>1</v>
      </c>
      <c r="BD62" s="454"/>
      <c r="BE62" s="454">
        <f>Ergebniseingabe!BD59</f>
        <v>4</v>
      </c>
      <c r="BF62" s="451"/>
      <c r="BG62" s="55" t="str">
        <f>Ergebniseingabe!BF59</f>
        <v>:</v>
      </c>
      <c r="BH62" s="537">
        <f>Ergebniseingabe!BG59</f>
        <v>7</v>
      </c>
      <c r="BI62" s="454"/>
      <c r="BJ62" s="542">
        <f>Ergebniseingabe!BI59</f>
        <v>-3</v>
      </c>
      <c r="BK62" s="542"/>
      <c r="BL62" s="543"/>
      <c r="BM62" s="451">
        <f>Ergebniseingabe!BL59</f>
        <v>5</v>
      </c>
      <c r="BN62" s="452"/>
      <c r="BO62" s="453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378">
        <f>IF(Ergebniseingabe!B60="","",Ergebniseingabe!B60)</f>
      </c>
      <c r="D63" s="378"/>
      <c r="E63" s="378"/>
      <c r="F63" s="378"/>
      <c r="G63" s="378">
        <f>IF(Ergebniseingabe!F60="","",Ergebniseingabe!F60)</f>
      </c>
      <c r="H63" s="378"/>
      <c r="I63" s="378"/>
      <c r="K63" s="554">
        <f>Ergebniseingabe!J60</f>
        <v>4</v>
      </c>
      <c r="L63" s="555"/>
      <c r="M63" s="438" t="str">
        <f>Ergebniseingabe!L60</f>
        <v>SC Verl II</v>
      </c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10" t="str">
        <f>Ergebniseingabe!AG60</f>
        <v>1:1</v>
      </c>
      <c r="AI63" s="410"/>
      <c r="AJ63" s="411"/>
      <c r="AK63" s="407" t="str">
        <f>Ergebniseingabe!AJ60</f>
        <v>0:1</v>
      </c>
      <c r="AL63" s="408"/>
      <c r="AM63" s="409"/>
      <c r="AN63" s="407" t="str">
        <f>Ergebniseingabe!AM60</f>
        <v>2:2</v>
      </c>
      <c r="AO63" s="408"/>
      <c r="AP63" s="409"/>
      <c r="AQ63" s="418"/>
      <c r="AR63" s="419"/>
      <c r="AS63" s="420"/>
      <c r="AT63" s="444" t="str">
        <f>Ergebniseingabe!AS60</f>
        <v>2:2</v>
      </c>
      <c r="AU63" s="410"/>
      <c r="AV63" s="410"/>
      <c r="AW63" s="455">
        <f>Ergebniseingabe!AV60</f>
        <v>4</v>
      </c>
      <c r="AX63" s="456"/>
      <c r="AY63" s="454">
        <f>Ergebniseingabe!AX60</f>
        <v>0</v>
      </c>
      <c r="AZ63" s="454"/>
      <c r="BA63" s="454">
        <f>Ergebniseingabe!AZ60</f>
        <v>3</v>
      </c>
      <c r="BB63" s="454"/>
      <c r="BC63" s="454">
        <f>Ergebniseingabe!BB60</f>
        <v>1</v>
      </c>
      <c r="BD63" s="454"/>
      <c r="BE63" s="454">
        <f>Ergebniseingabe!BD60</f>
        <v>5</v>
      </c>
      <c r="BF63" s="451"/>
      <c r="BG63" s="55" t="str">
        <f>Ergebniseingabe!BF60</f>
        <v>:</v>
      </c>
      <c r="BH63" s="537">
        <f>Ergebniseingabe!BG60</f>
        <v>6</v>
      </c>
      <c r="BI63" s="454"/>
      <c r="BJ63" s="542">
        <f>Ergebniseingabe!BI60</f>
        <v>-1</v>
      </c>
      <c r="BK63" s="542"/>
      <c r="BL63" s="543"/>
      <c r="BM63" s="451">
        <f>Ergebniseingabe!BL60</f>
        <v>3</v>
      </c>
      <c r="BN63" s="452"/>
      <c r="BO63" s="453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378">
        <f>IF(Ergebniseingabe!B61="","",Ergebniseingabe!B61)</f>
      </c>
      <c r="D64" s="378"/>
      <c r="E64" s="378"/>
      <c r="F64" s="378"/>
      <c r="G64" s="378">
        <f>IF(Ergebniseingabe!F61="","",Ergebniseingabe!F61)</f>
      </c>
      <c r="H64" s="378"/>
      <c r="I64" s="378"/>
      <c r="K64" s="564">
        <f>Ergebniseingabe!J61</f>
        <v>5</v>
      </c>
      <c r="L64" s="565"/>
      <c r="M64" s="442" t="str">
        <f>Ergebniseingabe!L61</f>
        <v>Vikt. Rietberg</v>
      </c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504" t="str">
        <f>Ergebniseingabe!AG61</f>
        <v>1:1</v>
      </c>
      <c r="AI64" s="504"/>
      <c r="AJ64" s="505"/>
      <c r="AK64" s="445" t="str">
        <f>Ergebniseingabe!AJ61</f>
        <v>1:5</v>
      </c>
      <c r="AL64" s="446"/>
      <c r="AM64" s="447"/>
      <c r="AN64" s="445" t="str">
        <f>Ergebniseingabe!AM61</f>
        <v>1:1</v>
      </c>
      <c r="AO64" s="446"/>
      <c r="AP64" s="447"/>
      <c r="AQ64" s="445" t="str">
        <f>Ergebniseingabe!AP61</f>
        <v>2:2</v>
      </c>
      <c r="AR64" s="446"/>
      <c r="AS64" s="447"/>
      <c r="AT64" s="429"/>
      <c r="AU64" s="430"/>
      <c r="AV64" s="430"/>
      <c r="AW64" s="506">
        <f>Ergebniseingabe!AV61</f>
        <v>4</v>
      </c>
      <c r="AX64" s="507"/>
      <c r="AY64" s="539">
        <f>Ergebniseingabe!AX61</f>
        <v>0</v>
      </c>
      <c r="AZ64" s="539"/>
      <c r="BA64" s="539">
        <f>Ergebniseingabe!AZ61</f>
        <v>3</v>
      </c>
      <c r="BB64" s="539"/>
      <c r="BC64" s="539">
        <f>Ergebniseingabe!BB61</f>
        <v>1</v>
      </c>
      <c r="BD64" s="539"/>
      <c r="BE64" s="539">
        <f>Ergebniseingabe!BD61</f>
        <v>5</v>
      </c>
      <c r="BF64" s="448"/>
      <c r="BG64" s="56" t="str">
        <f>Ergebniseingabe!BF61</f>
        <v>:</v>
      </c>
      <c r="BH64" s="538">
        <f>Ergebniseingabe!BG61</f>
        <v>9</v>
      </c>
      <c r="BI64" s="539"/>
      <c r="BJ64" s="540">
        <f>Ergebniseingabe!BI61</f>
        <v>-4</v>
      </c>
      <c r="BK64" s="540"/>
      <c r="BL64" s="541"/>
      <c r="BM64" s="448">
        <f>Ergebniseingabe!BL61</f>
        <v>3</v>
      </c>
      <c r="BN64" s="449"/>
      <c r="BO64" s="450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423" t="str">
        <f>M74</f>
        <v>TuS Friedrichsdorf</v>
      </c>
      <c r="AI66" s="424"/>
      <c r="AJ66" s="424"/>
      <c r="AK66" s="424" t="str">
        <f>M75</f>
        <v>SV Avenwedde</v>
      </c>
      <c r="AL66" s="424"/>
      <c r="AM66" s="424"/>
      <c r="AN66" s="424" t="str">
        <f>M76</f>
        <v>SCE Gütersloh</v>
      </c>
      <c r="AO66" s="424"/>
      <c r="AP66" s="424"/>
      <c r="AQ66" s="424" t="str">
        <f>M77</f>
        <v>SCC Italia Gütersloh</v>
      </c>
      <c r="AR66" s="424"/>
      <c r="AS66" s="424"/>
      <c r="AT66" s="424" t="str">
        <f>M78</f>
        <v>SC Blankenhagen</v>
      </c>
      <c r="AU66" s="424"/>
      <c r="AV66" s="575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425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576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425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576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425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576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425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576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425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576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263" t="s">
        <v>16</v>
      </c>
      <c r="D72" s="263"/>
      <c r="E72" s="263"/>
      <c r="F72" s="263"/>
      <c r="G72" s="263"/>
      <c r="H72" s="263"/>
      <c r="I72" s="263"/>
      <c r="AH72" s="425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576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556" t="s">
        <v>17</v>
      </c>
      <c r="D73" s="556"/>
      <c r="E73" s="556"/>
      <c r="F73" s="556"/>
      <c r="G73" s="556" t="s">
        <v>18</v>
      </c>
      <c r="H73" s="556"/>
      <c r="I73" s="556"/>
      <c r="K73" s="535" t="str">
        <f>IF(L136=0,"Gruppe B",IF(B136&lt;&gt;L136,"es liegen nicht alle Ergebnisse vor","Gruppe B"))</f>
        <v>Gruppe B</v>
      </c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427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577"/>
      <c r="AW73" s="458" t="s">
        <v>19</v>
      </c>
      <c r="AX73" s="545"/>
      <c r="AY73" s="457" t="s">
        <v>20</v>
      </c>
      <c r="AZ73" s="545"/>
      <c r="BA73" s="457" t="s">
        <v>21</v>
      </c>
      <c r="BB73" s="545"/>
      <c r="BC73" s="457" t="s">
        <v>22</v>
      </c>
      <c r="BD73" s="545"/>
      <c r="BE73" s="457" t="s">
        <v>23</v>
      </c>
      <c r="BF73" s="458"/>
      <c r="BG73" s="458"/>
      <c r="BH73" s="458"/>
      <c r="BI73" s="545"/>
      <c r="BJ73" s="457" t="s">
        <v>24</v>
      </c>
      <c r="BK73" s="458"/>
      <c r="BL73" s="458"/>
      <c r="BM73" s="457" t="s">
        <v>25</v>
      </c>
      <c r="BN73" s="458"/>
      <c r="BO73" s="459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378">
        <f>IF(Ergebniseingabe!B71="","",Ergebniseingabe!B71)</f>
      </c>
      <c r="D74" s="378"/>
      <c r="E74" s="378"/>
      <c r="F74" s="378"/>
      <c r="G74" s="378">
        <f>IF(Ergebniseingabe!F71="","",Ergebniseingabe!F71)</f>
      </c>
      <c r="H74" s="378"/>
      <c r="I74" s="378"/>
      <c r="K74" s="477">
        <f>Ergebniseingabe!J71</f>
        <v>1</v>
      </c>
      <c r="L74" s="478"/>
      <c r="M74" s="440" t="str">
        <f>Ergebniseingabe!L71</f>
        <v>TuS Friedrichsdorf</v>
      </c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12"/>
      <c r="AI74" s="412"/>
      <c r="AJ74" s="413"/>
      <c r="AK74" s="550" t="str">
        <f>Ergebniseingabe!AJ71</f>
        <v>2:1</v>
      </c>
      <c r="AL74" s="551"/>
      <c r="AM74" s="552"/>
      <c r="AN74" s="550" t="str">
        <f>Ergebniseingabe!AM71</f>
        <v>6:5</v>
      </c>
      <c r="AO74" s="551"/>
      <c r="AP74" s="552"/>
      <c r="AQ74" s="550" t="str">
        <f>Ergebniseingabe!AP71</f>
        <v>4:3</v>
      </c>
      <c r="AR74" s="551"/>
      <c r="AS74" s="552"/>
      <c r="AT74" s="548" t="str">
        <f>Ergebniseingabe!AS71</f>
        <v>3:0</v>
      </c>
      <c r="AU74" s="549"/>
      <c r="AV74" s="549"/>
      <c r="AW74" s="470">
        <f>Ergebniseingabe!AV71</f>
        <v>4</v>
      </c>
      <c r="AX74" s="471"/>
      <c r="AY74" s="472">
        <f>Ergebniseingabe!AX71</f>
        <v>4</v>
      </c>
      <c r="AZ74" s="472"/>
      <c r="BA74" s="472">
        <f>Ergebniseingabe!AZ71</f>
        <v>0</v>
      </c>
      <c r="BB74" s="472"/>
      <c r="BC74" s="472">
        <f>Ergebniseingabe!BB71</f>
        <v>0</v>
      </c>
      <c r="BD74" s="472"/>
      <c r="BE74" s="472">
        <f>Ergebniseingabe!BD71</f>
        <v>15</v>
      </c>
      <c r="BF74" s="460"/>
      <c r="BG74" s="54" t="str">
        <f>Ergebniseingabe!BF71</f>
        <v>:</v>
      </c>
      <c r="BH74" s="544">
        <f>Ergebniseingabe!BG71</f>
        <v>9</v>
      </c>
      <c r="BI74" s="472"/>
      <c r="BJ74" s="468">
        <f>Ergebniseingabe!BI71</f>
        <v>6</v>
      </c>
      <c r="BK74" s="468"/>
      <c r="BL74" s="469"/>
      <c r="BM74" s="460">
        <f>Ergebniseingabe!BL71</f>
        <v>12</v>
      </c>
      <c r="BN74" s="461"/>
      <c r="BO74" s="46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378">
        <f>IF(Ergebniseingabe!B72="","",Ergebniseingabe!B72)</f>
      </c>
      <c r="D75" s="378"/>
      <c r="E75" s="378"/>
      <c r="F75" s="378"/>
      <c r="G75" s="378">
        <f>IF(Ergebniseingabe!F72="","",Ergebniseingabe!F72)</f>
      </c>
      <c r="H75" s="378"/>
      <c r="I75" s="378"/>
      <c r="K75" s="479">
        <f>Ergebniseingabe!J72</f>
        <v>2</v>
      </c>
      <c r="L75" s="480"/>
      <c r="M75" s="438" t="str">
        <f>Ergebniseingabe!L72</f>
        <v>SV Avenwedde</v>
      </c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10" t="str">
        <f>Ergebniseingabe!AG72</f>
        <v>1:2</v>
      </c>
      <c r="AI75" s="410"/>
      <c r="AJ75" s="411"/>
      <c r="AK75" s="418"/>
      <c r="AL75" s="419"/>
      <c r="AM75" s="420"/>
      <c r="AN75" s="407" t="str">
        <f>Ergebniseingabe!AM72</f>
        <v>4:0</v>
      </c>
      <c r="AO75" s="408"/>
      <c r="AP75" s="409"/>
      <c r="AQ75" s="407" t="str">
        <f>Ergebniseingabe!AP72</f>
        <v>1:0</v>
      </c>
      <c r="AR75" s="408"/>
      <c r="AS75" s="409"/>
      <c r="AT75" s="444" t="str">
        <f>Ergebniseingabe!AS72</f>
        <v>4:0</v>
      </c>
      <c r="AU75" s="410"/>
      <c r="AV75" s="410"/>
      <c r="AW75" s="455">
        <f>Ergebniseingabe!AV72</f>
        <v>4</v>
      </c>
      <c r="AX75" s="456"/>
      <c r="AY75" s="454">
        <f>Ergebniseingabe!AX72</f>
        <v>3</v>
      </c>
      <c r="AZ75" s="454"/>
      <c r="BA75" s="454">
        <f>Ergebniseingabe!AZ72</f>
        <v>0</v>
      </c>
      <c r="BB75" s="454"/>
      <c r="BC75" s="454">
        <f>Ergebniseingabe!BB72</f>
        <v>1</v>
      </c>
      <c r="BD75" s="454"/>
      <c r="BE75" s="454">
        <f>Ergebniseingabe!BD72</f>
        <v>10</v>
      </c>
      <c r="BF75" s="451"/>
      <c r="BG75" s="55" t="str">
        <f>Ergebniseingabe!BF72</f>
        <v>:</v>
      </c>
      <c r="BH75" s="537">
        <f>Ergebniseingabe!BG72</f>
        <v>2</v>
      </c>
      <c r="BI75" s="454"/>
      <c r="BJ75" s="542">
        <f>Ergebniseingabe!BI72</f>
        <v>8</v>
      </c>
      <c r="BK75" s="542"/>
      <c r="BL75" s="543"/>
      <c r="BM75" s="451">
        <f>Ergebniseingabe!BL72</f>
        <v>9</v>
      </c>
      <c r="BN75" s="452"/>
      <c r="BO75" s="453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378">
        <f>IF(Ergebniseingabe!B73="","",Ergebniseingabe!B73)</f>
      </c>
      <c r="D76" s="378"/>
      <c r="E76" s="378"/>
      <c r="F76" s="378"/>
      <c r="G76" s="378">
        <f>IF(Ergebniseingabe!F73="","",Ergebniseingabe!F73)</f>
      </c>
      <c r="H76" s="378"/>
      <c r="I76" s="378"/>
      <c r="K76" s="479">
        <f>Ergebniseingabe!J73</f>
        <v>3</v>
      </c>
      <c r="L76" s="480"/>
      <c r="M76" s="438" t="str">
        <f>Ergebniseingabe!L73</f>
        <v>SCE Gütersloh</v>
      </c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10" t="str">
        <f>Ergebniseingabe!AG73</f>
        <v>5:6</v>
      </c>
      <c r="AI76" s="410"/>
      <c r="AJ76" s="411"/>
      <c r="AK76" s="407" t="str">
        <f>Ergebniseingabe!AJ73</f>
        <v>0:4</v>
      </c>
      <c r="AL76" s="408"/>
      <c r="AM76" s="409"/>
      <c r="AN76" s="418"/>
      <c r="AO76" s="419"/>
      <c r="AP76" s="420"/>
      <c r="AQ76" s="407" t="str">
        <f>Ergebniseingabe!AP73</f>
        <v>2:1</v>
      </c>
      <c r="AR76" s="408"/>
      <c r="AS76" s="409"/>
      <c r="AT76" s="444" t="str">
        <f>Ergebniseingabe!AS73</f>
        <v>4:2</v>
      </c>
      <c r="AU76" s="410"/>
      <c r="AV76" s="410"/>
      <c r="AW76" s="455">
        <f>Ergebniseingabe!AV73</f>
        <v>4</v>
      </c>
      <c r="AX76" s="456"/>
      <c r="AY76" s="454">
        <f>Ergebniseingabe!AX73</f>
        <v>2</v>
      </c>
      <c r="AZ76" s="454"/>
      <c r="BA76" s="454">
        <f>Ergebniseingabe!AZ73</f>
        <v>0</v>
      </c>
      <c r="BB76" s="454"/>
      <c r="BC76" s="454">
        <f>Ergebniseingabe!BB73</f>
        <v>2</v>
      </c>
      <c r="BD76" s="454"/>
      <c r="BE76" s="454">
        <f>Ergebniseingabe!BD73</f>
        <v>11</v>
      </c>
      <c r="BF76" s="451"/>
      <c r="BG76" s="55" t="str">
        <f>Ergebniseingabe!BF73</f>
        <v>:</v>
      </c>
      <c r="BH76" s="537">
        <f>Ergebniseingabe!BG73</f>
        <v>13</v>
      </c>
      <c r="BI76" s="454"/>
      <c r="BJ76" s="542">
        <f>Ergebniseingabe!BI73</f>
        <v>-2</v>
      </c>
      <c r="BK76" s="542"/>
      <c r="BL76" s="543"/>
      <c r="BM76" s="451">
        <f>Ergebniseingabe!BL73</f>
        <v>6</v>
      </c>
      <c r="BN76" s="452"/>
      <c r="BO76" s="453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378">
        <f>IF(Ergebniseingabe!B74="","",Ergebniseingabe!B74)</f>
      </c>
      <c r="D77" s="378"/>
      <c r="E77" s="378"/>
      <c r="F77" s="378"/>
      <c r="G77" s="378">
        <f>IF(Ergebniseingabe!F74="","",Ergebniseingabe!F74)</f>
      </c>
      <c r="H77" s="378"/>
      <c r="I77" s="378"/>
      <c r="K77" s="479">
        <f>Ergebniseingabe!J74</f>
        <v>4</v>
      </c>
      <c r="L77" s="480"/>
      <c r="M77" s="438" t="str">
        <f>Ergebniseingabe!L74</f>
        <v>SCC Italia Gütersloh</v>
      </c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10" t="str">
        <f>Ergebniseingabe!AG74</f>
        <v>3:4</v>
      </c>
      <c r="AI77" s="410"/>
      <c r="AJ77" s="411"/>
      <c r="AK77" s="407" t="str">
        <f>Ergebniseingabe!AJ74</f>
        <v>0:1</v>
      </c>
      <c r="AL77" s="408"/>
      <c r="AM77" s="409"/>
      <c r="AN77" s="407" t="str">
        <f>Ergebniseingabe!AM74</f>
        <v>1:2</v>
      </c>
      <c r="AO77" s="408"/>
      <c r="AP77" s="409"/>
      <c r="AQ77" s="418"/>
      <c r="AR77" s="419"/>
      <c r="AS77" s="420"/>
      <c r="AT77" s="444" t="str">
        <f>Ergebniseingabe!AS74</f>
        <v>4:1</v>
      </c>
      <c r="AU77" s="410"/>
      <c r="AV77" s="410"/>
      <c r="AW77" s="455">
        <f>Ergebniseingabe!AV74</f>
        <v>4</v>
      </c>
      <c r="AX77" s="456"/>
      <c r="AY77" s="454">
        <f>Ergebniseingabe!AX74</f>
        <v>1</v>
      </c>
      <c r="AZ77" s="454"/>
      <c r="BA77" s="454">
        <f>Ergebniseingabe!AZ74</f>
        <v>0</v>
      </c>
      <c r="BB77" s="454"/>
      <c r="BC77" s="454">
        <f>Ergebniseingabe!BB74</f>
        <v>3</v>
      </c>
      <c r="BD77" s="454"/>
      <c r="BE77" s="454">
        <f>Ergebniseingabe!BD74</f>
        <v>8</v>
      </c>
      <c r="BF77" s="451"/>
      <c r="BG77" s="55" t="str">
        <f>Ergebniseingabe!BF74</f>
        <v>:</v>
      </c>
      <c r="BH77" s="537">
        <f>Ergebniseingabe!BG74</f>
        <v>8</v>
      </c>
      <c r="BI77" s="454"/>
      <c r="BJ77" s="542">
        <f>Ergebniseingabe!BI74</f>
        <v>0</v>
      </c>
      <c r="BK77" s="542"/>
      <c r="BL77" s="543"/>
      <c r="BM77" s="451">
        <f>Ergebniseingabe!BL74</f>
        <v>3</v>
      </c>
      <c r="BN77" s="452"/>
      <c r="BO77" s="453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378">
        <f>IF(Ergebniseingabe!B75="","",Ergebniseingabe!B75)</f>
      </c>
      <c r="D78" s="378"/>
      <c r="E78" s="378"/>
      <c r="F78" s="378"/>
      <c r="G78" s="378">
        <f>IF(Ergebniseingabe!F75="","",Ergebniseingabe!F75)</f>
      </c>
      <c r="H78" s="378"/>
      <c r="I78" s="378"/>
      <c r="K78" s="481">
        <f>Ergebniseingabe!J75</f>
        <v>5</v>
      </c>
      <c r="L78" s="482"/>
      <c r="M78" s="442" t="str">
        <f>Ergebniseingabe!L75</f>
        <v>SC Blankenhagen</v>
      </c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504" t="str">
        <f>Ergebniseingabe!AG75</f>
        <v>0:3</v>
      </c>
      <c r="AI78" s="504"/>
      <c r="AJ78" s="505"/>
      <c r="AK78" s="445" t="str">
        <f>Ergebniseingabe!AJ75</f>
        <v>0:4</v>
      </c>
      <c r="AL78" s="446"/>
      <c r="AM78" s="447"/>
      <c r="AN78" s="445" t="str">
        <f>Ergebniseingabe!AM75</f>
        <v>2:4</v>
      </c>
      <c r="AO78" s="446"/>
      <c r="AP78" s="447"/>
      <c r="AQ78" s="445" t="str">
        <f>Ergebniseingabe!AP75</f>
        <v>1:4</v>
      </c>
      <c r="AR78" s="446"/>
      <c r="AS78" s="447"/>
      <c r="AT78" s="429"/>
      <c r="AU78" s="430"/>
      <c r="AV78" s="430"/>
      <c r="AW78" s="506">
        <f>Ergebniseingabe!AV75</f>
        <v>4</v>
      </c>
      <c r="AX78" s="507"/>
      <c r="AY78" s="539">
        <f>Ergebniseingabe!AX75</f>
        <v>0</v>
      </c>
      <c r="AZ78" s="539"/>
      <c r="BA78" s="539">
        <f>Ergebniseingabe!AZ75</f>
        <v>0</v>
      </c>
      <c r="BB78" s="539"/>
      <c r="BC78" s="539">
        <f>Ergebniseingabe!BB75</f>
        <v>4</v>
      </c>
      <c r="BD78" s="539"/>
      <c r="BE78" s="539">
        <f>Ergebniseingabe!BD75</f>
        <v>3</v>
      </c>
      <c r="BF78" s="448"/>
      <c r="BG78" s="56" t="str">
        <f>Ergebniseingabe!BF75</f>
        <v>:</v>
      </c>
      <c r="BH78" s="538">
        <f>Ergebniseingabe!BG75</f>
        <v>15</v>
      </c>
      <c r="BI78" s="539"/>
      <c r="BJ78" s="540">
        <f>Ergebniseingabe!BI75</f>
        <v>-12</v>
      </c>
      <c r="BK78" s="540"/>
      <c r="BL78" s="541"/>
      <c r="BM78" s="448">
        <f>Ergebniseingabe!BL75</f>
        <v>0</v>
      </c>
      <c r="BN78" s="449"/>
      <c r="BO78" s="450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5">
      <c r="C81" s="46" t="s">
        <v>26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5">
      <c r="C83" s="233" t="s">
        <v>51</v>
      </c>
      <c r="D83" s="233"/>
      <c r="E83" s="233"/>
      <c r="F83" s="233"/>
      <c r="G83" s="233"/>
      <c r="H83" s="233"/>
      <c r="I83" s="276">
        <f>Ergebniseingabe!H78</f>
        <v>0.7395833333333326</v>
      </c>
      <c r="J83" s="276"/>
      <c r="K83" s="276"/>
      <c r="L83" s="276"/>
      <c r="M83" s="33" t="s">
        <v>1</v>
      </c>
      <c r="U83" s="42" t="s">
        <v>2</v>
      </c>
      <c r="V83" s="293">
        <f>Ergebniseingabe!U78</f>
        <v>1</v>
      </c>
      <c r="W83" s="293"/>
      <c r="X83" s="43" t="s">
        <v>3</v>
      </c>
      <c r="Y83" s="236">
        <f>Ergebniseingabe!X78</f>
        <v>15</v>
      </c>
      <c r="Z83" s="236"/>
      <c r="AA83" s="236"/>
      <c r="AB83" s="236"/>
      <c r="AC83" s="236"/>
      <c r="AD83" s="313">
        <f>Ergebniseingabe!AC78</f>
      </c>
      <c r="AE83" s="313"/>
      <c r="AF83" s="313"/>
      <c r="AG83" s="313"/>
      <c r="AH83" s="313"/>
      <c r="AI83" s="313"/>
      <c r="AJ83" s="236">
        <f>Ergebniseingabe!AI78</f>
        <v>0</v>
      </c>
      <c r="AK83" s="236"/>
      <c r="AL83" s="236"/>
      <c r="AM83" s="236"/>
      <c r="AN83" s="236"/>
      <c r="AP83" s="233" t="s">
        <v>4</v>
      </c>
      <c r="AQ83" s="233"/>
      <c r="AR83" s="233"/>
      <c r="AS83" s="233"/>
      <c r="AT83" s="233"/>
      <c r="AU83" s="233"/>
      <c r="AV83" s="233"/>
      <c r="AW83" s="233"/>
      <c r="AX83" s="232">
        <f>Ergebniseingabe!AW78</f>
        <v>3</v>
      </c>
      <c r="AY83" s="232"/>
      <c r="AZ83" s="232"/>
      <c r="BA83" s="232"/>
      <c r="BB83" s="232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531" t="s">
        <v>9</v>
      </c>
      <c r="D85" s="489"/>
      <c r="E85" s="489" t="s">
        <v>52</v>
      </c>
      <c r="F85" s="489"/>
      <c r="G85" s="489"/>
      <c r="H85" s="489"/>
      <c r="I85" s="490" t="s">
        <v>27</v>
      </c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4"/>
      <c r="AZ85" s="489" t="s">
        <v>12</v>
      </c>
      <c r="BA85" s="489"/>
      <c r="BB85" s="489"/>
      <c r="BC85" s="489"/>
      <c r="BD85" s="490"/>
      <c r="BE85" s="572"/>
      <c r="BF85" s="573"/>
      <c r="BG85" s="573"/>
      <c r="BH85" s="574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509">
        <v>21</v>
      </c>
      <c r="D86" s="510"/>
      <c r="E86" s="514">
        <f>Ergebniseingabe!D81</f>
        <v>0.7395833333333326</v>
      </c>
      <c r="F86" s="515"/>
      <c r="G86" s="515"/>
      <c r="H86" s="516"/>
      <c r="I86" s="497" t="str">
        <f>Ergebniseingabe!H81</f>
        <v>SV Spexard</v>
      </c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67" t="s">
        <v>14</v>
      </c>
      <c r="AE86" s="421" t="str">
        <f>Ergebniseingabe!AD81</f>
        <v>SV Avenwedde</v>
      </c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2"/>
      <c r="AZ86" s="487">
        <f>IF(Ergebniseingabe!AY81="","",Ergebniseingabe!AY81)</f>
      </c>
      <c r="BA86" s="488"/>
      <c r="BB86" s="488"/>
      <c r="BC86" s="406">
        <f>IF(Ergebniseingabe!BB81="","",Ergebniseingabe!BB81)</f>
      </c>
      <c r="BD86" s="406"/>
      <c r="BE86" s="403">
        <f>IF(Ergebniseingabe!BD81="","",Ergebniseingabe!BD81)</f>
      </c>
      <c r="BF86" s="404"/>
      <c r="BG86" s="404"/>
      <c r="BH86" s="405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511"/>
      <c r="D87" s="512"/>
      <c r="E87" s="517"/>
      <c r="F87" s="518"/>
      <c r="G87" s="518"/>
      <c r="H87" s="519"/>
      <c r="I87" s="495" t="s">
        <v>28</v>
      </c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496"/>
      <c r="Y87" s="496"/>
      <c r="Z87" s="496"/>
      <c r="AA87" s="496"/>
      <c r="AB87" s="496"/>
      <c r="AC87" s="496"/>
      <c r="AD87" s="68"/>
      <c r="AE87" s="496" t="s">
        <v>29</v>
      </c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508"/>
      <c r="AZ87" s="400"/>
      <c r="BA87" s="401"/>
      <c r="BB87" s="401"/>
      <c r="BC87" s="401"/>
      <c r="BD87" s="401"/>
      <c r="BE87" s="400"/>
      <c r="BF87" s="401"/>
      <c r="BG87" s="401"/>
      <c r="BH87" s="402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532" t="s">
        <v>9</v>
      </c>
      <c r="D89" s="531"/>
      <c r="E89" s="490" t="s">
        <v>52</v>
      </c>
      <c r="F89" s="533"/>
      <c r="G89" s="533"/>
      <c r="H89" s="534"/>
      <c r="I89" s="490" t="s">
        <v>30</v>
      </c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  <c r="AA89" s="533"/>
      <c r="AB89" s="533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4"/>
      <c r="AZ89" s="489" t="s">
        <v>12</v>
      </c>
      <c r="BA89" s="489"/>
      <c r="BB89" s="489"/>
      <c r="BC89" s="489"/>
      <c r="BD89" s="490"/>
      <c r="BE89" s="572"/>
      <c r="BF89" s="573"/>
      <c r="BG89" s="573"/>
      <c r="BH89" s="574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509">
        <v>22</v>
      </c>
      <c r="D90" s="510"/>
      <c r="E90" s="514">
        <f>Ergebniseingabe!D85</f>
        <v>0.7520833333333325</v>
      </c>
      <c r="F90" s="515"/>
      <c r="G90" s="515"/>
      <c r="H90" s="516"/>
      <c r="I90" s="497" t="str">
        <f>Ergebniseingabe!H85</f>
        <v>BW 98 Gütersloh</v>
      </c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67" t="s">
        <v>14</v>
      </c>
      <c r="AE90" s="421" t="str">
        <f>Ergebniseingabe!AD85</f>
        <v>TuS Friedrichsdorf</v>
      </c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2"/>
      <c r="AZ90" s="487">
        <f>IF(Ergebniseingabe!AY85="","",Ergebniseingabe!AY85)</f>
      </c>
      <c r="BA90" s="488"/>
      <c r="BB90" s="488"/>
      <c r="BC90" s="406">
        <f>IF(Ergebniseingabe!BB85="","",Ergebniseingabe!BB85)</f>
      </c>
      <c r="BD90" s="406"/>
      <c r="BE90" s="403">
        <f>IF(Ergebniseingabe!BD85="","",Ergebniseingabe!BD85)</f>
      </c>
      <c r="BF90" s="404"/>
      <c r="BG90" s="404"/>
      <c r="BH90" s="405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511"/>
      <c r="D91" s="512"/>
      <c r="E91" s="517"/>
      <c r="F91" s="518"/>
      <c r="G91" s="518"/>
      <c r="H91" s="519"/>
      <c r="I91" s="495" t="s">
        <v>31</v>
      </c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68"/>
      <c r="AE91" s="496" t="s">
        <v>32</v>
      </c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/>
      <c r="AV91" s="496"/>
      <c r="AW91" s="496"/>
      <c r="AX91" s="496"/>
      <c r="AY91" s="508"/>
      <c r="AZ91" s="400"/>
      <c r="BA91" s="401"/>
      <c r="BB91" s="401"/>
      <c r="BC91" s="401"/>
      <c r="BD91" s="401"/>
      <c r="BE91" s="400"/>
      <c r="BF91" s="401"/>
      <c r="BG91" s="401"/>
      <c r="BH91" s="402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513" t="s">
        <v>9</v>
      </c>
      <c r="D93" s="498"/>
      <c r="E93" s="493" t="s">
        <v>52</v>
      </c>
      <c r="F93" s="494"/>
      <c r="G93" s="494"/>
      <c r="H93" s="498"/>
      <c r="I93" s="493" t="s">
        <v>33</v>
      </c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  <c r="AO93" s="494"/>
      <c r="AP93" s="494"/>
      <c r="AQ93" s="494"/>
      <c r="AR93" s="494"/>
      <c r="AS93" s="494"/>
      <c r="AT93" s="494"/>
      <c r="AU93" s="494"/>
      <c r="AV93" s="494"/>
      <c r="AW93" s="494"/>
      <c r="AX93" s="494"/>
      <c r="AY93" s="498"/>
      <c r="AZ93" s="493" t="s">
        <v>12</v>
      </c>
      <c r="BA93" s="494"/>
      <c r="BB93" s="494"/>
      <c r="BC93" s="494"/>
      <c r="BD93" s="494"/>
      <c r="BE93" s="397"/>
      <c r="BF93" s="398"/>
      <c r="BG93" s="398"/>
      <c r="BH93" s="399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509">
        <v>23</v>
      </c>
      <c r="D94" s="510"/>
      <c r="E94" s="514">
        <f>Ergebniseingabe!D89</f>
        <v>0.7645833333333325</v>
      </c>
      <c r="F94" s="515"/>
      <c r="G94" s="515"/>
      <c r="H94" s="516"/>
      <c r="I94" s="497" t="str">
        <f>Ergebniseingabe!H89</f>
        <v> </v>
      </c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67" t="s">
        <v>14</v>
      </c>
      <c r="AE94" s="421" t="str">
        <f>Ergebniseingabe!AD89</f>
        <v> </v>
      </c>
      <c r="AF94" s="421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421"/>
      <c r="AR94" s="421"/>
      <c r="AS94" s="421"/>
      <c r="AT94" s="421"/>
      <c r="AU94" s="421"/>
      <c r="AV94" s="421"/>
      <c r="AW94" s="421"/>
      <c r="AX94" s="421"/>
      <c r="AY94" s="422"/>
      <c r="AZ94" s="487">
        <f>IF(Ergebniseingabe!AY89="","",Ergebniseingabe!AY89)</f>
      </c>
      <c r="BA94" s="488"/>
      <c r="BB94" s="488"/>
      <c r="BC94" s="406">
        <f>IF(Ergebniseingabe!BB89="","",Ergebniseingabe!BB89)</f>
      </c>
      <c r="BD94" s="406"/>
      <c r="BE94" s="394">
        <f>IF(Ergebniseingabe!BD89="","",Ergebniseingabe!BD89)</f>
      </c>
      <c r="BF94" s="395"/>
      <c r="BG94" s="395"/>
      <c r="BH94" s="396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511"/>
      <c r="D95" s="512"/>
      <c r="E95" s="517"/>
      <c r="F95" s="518"/>
      <c r="G95" s="518"/>
      <c r="H95" s="519"/>
      <c r="I95" s="495" t="s">
        <v>34</v>
      </c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68"/>
      <c r="AE95" s="496" t="s">
        <v>35</v>
      </c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  <c r="AX95" s="496"/>
      <c r="AY95" s="508"/>
      <c r="AZ95" s="491"/>
      <c r="BA95" s="492"/>
      <c r="BB95" s="492"/>
      <c r="BC95" s="492"/>
      <c r="BD95" s="492"/>
      <c r="BE95" s="391"/>
      <c r="BF95" s="392"/>
      <c r="BG95" s="392"/>
      <c r="BH95" s="393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513" t="s">
        <v>9</v>
      </c>
      <c r="D97" s="498"/>
      <c r="E97" s="493" t="s">
        <v>52</v>
      </c>
      <c r="F97" s="494"/>
      <c r="G97" s="494"/>
      <c r="H97" s="498"/>
      <c r="I97" s="493" t="s">
        <v>36</v>
      </c>
      <c r="J97" s="494"/>
      <c r="K97" s="494"/>
      <c r="L97" s="494"/>
      <c r="M97" s="494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494"/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  <c r="AQ97" s="494"/>
      <c r="AR97" s="494"/>
      <c r="AS97" s="494"/>
      <c r="AT97" s="494"/>
      <c r="AU97" s="494"/>
      <c r="AV97" s="494"/>
      <c r="AW97" s="494"/>
      <c r="AX97" s="494"/>
      <c r="AY97" s="498"/>
      <c r="AZ97" s="493" t="s">
        <v>12</v>
      </c>
      <c r="BA97" s="494"/>
      <c r="BB97" s="494"/>
      <c r="BC97" s="494"/>
      <c r="BD97" s="494"/>
      <c r="BE97" s="397"/>
      <c r="BF97" s="398"/>
      <c r="BG97" s="398"/>
      <c r="BH97" s="399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509">
        <v>24</v>
      </c>
      <c r="D98" s="510"/>
      <c r="E98" s="514">
        <f>Ergebniseingabe!D93</f>
        <v>0.7770833333333325</v>
      </c>
      <c r="F98" s="515"/>
      <c r="G98" s="515"/>
      <c r="H98" s="516"/>
      <c r="I98" s="497" t="str">
        <f>Ergebniseingabe!H93</f>
        <v> </v>
      </c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1"/>
      <c r="AC98" s="421"/>
      <c r="AD98" s="67" t="s">
        <v>14</v>
      </c>
      <c r="AE98" s="421" t="str">
        <f>Ergebniseingabe!AD93</f>
        <v> </v>
      </c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2"/>
      <c r="AZ98" s="487">
        <f>IF(Ergebniseingabe!AY93="","",Ergebniseingabe!AY93)</f>
      </c>
      <c r="BA98" s="488"/>
      <c r="BB98" s="488"/>
      <c r="BC98" s="406">
        <f>IF(Ergebniseingabe!BB93="","",Ergebniseingabe!BB93)</f>
      </c>
      <c r="BD98" s="406"/>
      <c r="BE98" s="394">
        <f>IF(Ergebniseingabe!BD93="","",Ergebniseingabe!BD93)</f>
      </c>
      <c r="BF98" s="395"/>
      <c r="BG98" s="395"/>
      <c r="BH98" s="396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511"/>
      <c r="D99" s="512"/>
      <c r="E99" s="517"/>
      <c r="F99" s="518"/>
      <c r="G99" s="518"/>
      <c r="H99" s="519"/>
      <c r="I99" s="495" t="s">
        <v>37</v>
      </c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68"/>
      <c r="AE99" s="496" t="s">
        <v>38</v>
      </c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  <c r="AX99" s="496"/>
      <c r="AY99" s="508"/>
      <c r="AZ99" s="491"/>
      <c r="BA99" s="492"/>
      <c r="BB99" s="492"/>
      <c r="BC99" s="492"/>
      <c r="BD99" s="492"/>
      <c r="BE99" s="391"/>
      <c r="BF99" s="392"/>
      <c r="BG99" s="392"/>
      <c r="BH99" s="393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5">
      <c r="C102" s="46" t="s">
        <v>39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568" t="s">
        <v>40</v>
      </c>
      <c r="K104" s="569"/>
      <c r="L104" s="569"/>
      <c r="M104" s="566" t="str">
        <f>Ergebniseingabe!L98</f>
        <v> </v>
      </c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7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570" t="s">
        <v>41</v>
      </c>
      <c r="K105" s="571"/>
      <c r="L105" s="571"/>
      <c r="M105" s="485" t="str">
        <f>Ergebniseingabe!L99</f>
        <v> </v>
      </c>
      <c r="N105" s="485"/>
      <c r="O105" s="485"/>
      <c r="P105" s="485"/>
      <c r="Q105" s="485"/>
      <c r="R105" s="485"/>
      <c r="S105" s="485"/>
      <c r="T105" s="485"/>
      <c r="U105" s="485"/>
      <c r="V105" s="485"/>
      <c r="W105" s="485"/>
      <c r="X105" s="485"/>
      <c r="Y105" s="485"/>
      <c r="Z105" s="485"/>
      <c r="AA105" s="485"/>
      <c r="AB105" s="485"/>
      <c r="AC105" s="485"/>
      <c r="AD105" s="485"/>
      <c r="AE105" s="485"/>
      <c r="AF105" s="485"/>
      <c r="AG105" s="486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473" t="s">
        <v>42</v>
      </c>
      <c r="K106" s="474"/>
      <c r="L106" s="474"/>
      <c r="M106" s="485" t="str">
        <f>Ergebniseingabe!L100</f>
        <v> </v>
      </c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5"/>
      <c r="AA106" s="485"/>
      <c r="AB106" s="485"/>
      <c r="AC106" s="485"/>
      <c r="AD106" s="485"/>
      <c r="AE106" s="485"/>
      <c r="AF106" s="485"/>
      <c r="AG106" s="486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475" t="s">
        <v>43</v>
      </c>
      <c r="K107" s="476"/>
      <c r="L107" s="476"/>
      <c r="M107" s="483" t="str">
        <f>Ergebniseingabe!L101</f>
        <v> </v>
      </c>
      <c r="N107" s="483"/>
      <c r="O107" s="483"/>
      <c r="P107" s="483"/>
      <c r="Q107" s="483"/>
      <c r="R107" s="483"/>
      <c r="S107" s="483"/>
      <c r="T107" s="483"/>
      <c r="U107" s="483"/>
      <c r="V107" s="483"/>
      <c r="W107" s="483"/>
      <c r="X107" s="483"/>
      <c r="Y107" s="483"/>
      <c r="Z107" s="483"/>
      <c r="AA107" s="483"/>
      <c r="AB107" s="483"/>
      <c r="AC107" s="483"/>
      <c r="AD107" s="483"/>
      <c r="AE107" s="483"/>
      <c r="AF107" s="483"/>
      <c r="AG107" s="484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AY63:AZ63"/>
    <mergeCell ref="AY64:AZ64"/>
    <mergeCell ref="BA64:BB64"/>
    <mergeCell ref="AT76:AV76"/>
    <mergeCell ref="AT75:AV75"/>
    <mergeCell ref="AT66:AV73"/>
    <mergeCell ref="AY75:AZ75"/>
    <mergeCell ref="AW73:AX73"/>
    <mergeCell ref="AW64:AX64"/>
    <mergeCell ref="BA74:BB74"/>
    <mergeCell ref="AY3:BE3"/>
    <mergeCell ref="BE89:BH89"/>
    <mergeCell ref="BE87:BH87"/>
    <mergeCell ref="BE86:BH86"/>
    <mergeCell ref="BE85:BH85"/>
    <mergeCell ref="AY61:AZ61"/>
    <mergeCell ref="AY62:AZ62"/>
    <mergeCell ref="BA60:BB60"/>
    <mergeCell ref="BC73:BD73"/>
    <mergeCell ref="BA63:BB63"/>
    <mergeCell ref="C73:F73"/>
    <mergeCell ref="AQ75:AS75"/>
    <mergeCell ref="M74:AG74"/>
    <mergeCell ref="AQ66:AS73"/>
    <mergeCell ref="AK75:AM75"/>
    <mergeCell ref="AK74:AM74"/>
    <mergeCell ref="AN74:AP74"/>
    <mergeCell ref="K64:L64"/>
    <mergeCell ref="M105:AG105"/>
    <mergeCell ref="M104:AG104"/>
    <mergeCell ref="AE99:AY99"/>
    <mergeCell ref="I99:AC99"/>
    <mergeCell ref="J104:L104"/>
    <mergeCell ref="J105:L105"/>
    <mergeCell ref="AQ74:AS74"/>
    <mergeCell ref="C72:I72"/>
    <mergeCell ref="C74:F74"/>
    <mergeCell ref="AQ63:AS63"/>
    <mergeCell ref="AN64:AP64"/>
    <mergeCell ref="AN63:AP63"/>
    <mergeCell ref="M64:AG64"/>
    <mergeCell ref="M63:AG63"/>
    <mergeCell ref="AK63:AM63"/>
    <mergeCell ref="AK64:AM64"/>
    <mergeCell ref="AQ64:AS64"/>
    <mergeCell ref="BJ74:BL74"/>
    <mergeCell ref="AT61:AV61"/>
    <mergeCell ref="AQ61:AS61"/>
    <mergeCell ref="AW61:AX61"/>
    <mergeCell ref="AT63:AV63"/>
    <mergeCell ref="AW63:AX63"/>
    <mergeCell ref="AQ62:AS62"/>
    <mergeCell ref="AT74:AV74"/>
    <mergeCell ref="BA73:BB73"/>
    <mergeCell ref="BC63:BD63"/>
    <mergeCell ref="L36:AF36"/>
    <mergeCell ref="H41:K41"/>
    <mergeCell ref="BJ73:BL73"/>
    <mergeCell ref="AN60:AP60"/>
    <mergeCell ref="G73:I73"/>
    <mergeCell ref="AK62:AM62"/>
    <mergeCell ref="K63:L63"/>
    <mergeCell ref="K62:L62"/>
    <mergeCell ref="AH64:AJ64"/>
    <mergeCell ref="H42:K42"/>
    <mergeCell ref="H34:K34"/>
    <mergeCell ref="L34:AF34"/>
    <mergeCell ref="L35:AF35"/>
    <mergeCell ref="H33:K33"/>
    <mergeCell ref="L33:AF33"/>
    <mergeCell ref="H35:K35"/>
    <mergeCell ref="L37:AF37"/>
    <mergeCell ref="L38:AF38"/>
    <mergeCell ref="L39:AF39"/>
    <mergeCell ref="L41:AF41"/>
    <mergeCell ref="H37:K37"/>
    <mergeCell ref="H43:K43"/>
    <mergeCell ref="H40:K40"/>
    <mergeCell ref="H39:K39"/>
    <mergeCell ref="BF42:BG42"/>
    <mergeCell ref="BC44:BE44"/>
    <mergeCell ref="BC59:BD59"/>
    <mergeCell ref="BC42:BE42"/>
    <mergeCell ref="BF44:BG44"/>
    <mergeCell ref="BC43:BE43"/>
    <mergeCell ref="BF43:BG43"/>
    <mergeCell ref="BC62:BD62"/>
    <mergeCell ref="BE61:BF61"/>
    <mergeCell ref="AK61:AM61"/>
    <mergeCell ref="AK60:AM60"/>
    <mergeCell ref="AN62:AP62"/>
    <mergeCell ref="BA61:BB61"/>
    <mergeCell ref="BA62:BB62"/>
    <mergeCell ref="AW62:AX62"/>
    <mergeCell ref="BC61:BD61"/>
    <mergeCell ref="AT62:AV62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L45:AF45"/>
    <mergeCell ref="C59:F59"/>
    <mergeCell ref="BC38:BE38"/>
    <mergeCell ref="BF38:BG38"/>
    <mergeCell ref="BC39:BE39"/>
    <mergeCell ref="BF39:BG39"/>
    <mergeCell ref="BC41:BE41"/>
    <mergeCell ref="BF41:BG41"/>
    <mergeCell ref="BC40:BE40"/>
    <mergeCell ref="BF40:BG40"/>
    <mergeCell ref="BF34:BG34"/>
    <mergeCell ref="BC36:BE36"/>
    <mergeCell ref="BF36:BG36"/>
    <mergeCell ref="BC35:BE35"/>
    <mergeCell ref="BF35:BG35"/>
    <mergeCell ref="BC37:BE37"/>
    <mergeCell ref="BF37:BG37"/>
    <mergeCell ref="BF28:BG28"/>
    <mergeCell ref="BC28:BE28"/>
    <mergeCell ref="BC29:BE29"/>
    <mergeCell ref="BF29:BG29"/>
    <mergeCell ref="BF32:BG32"/>
    <mergeCell ref="BC31:BE31"/>
    <mergeCell ref="BF31:BG31"/>
    <mergeCell ref="BC32:BE32"/>
    <mergeCell ref="BF30:BG30"/>
    <mergeCell ref="H27:K27"/>
    <mergeCell ref="BC27:BE27"/>
    <mergeCell ref="BF27:BG27"/>
    <mergeCell ref="H28:K28"/>
    <mergeCell ref="H30:K30"/>
    <mergeCell ref="L30:AF30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AT52:AV59"/>
    <mergeCell ref="G59:I59"/>
    <mergeCell ref="C58:I58"/>
    <mergeCell ref="H45:K45"/>
    <mergeCell ref="K61:L61"/>
    <mergeCell ref="AH61:AJ61"/>
    <mergeCell ref="AH60:AJ60"/>
    <mergeCell ref="E37:G37"/>
    <mergeCell ref="H44:K44"/>
    <mergeCell ref="L40:AF40"/>
    <mergeCell ref="AH42:BB42"/>
    <mergeCell ref="AH37:BB37"/>
    <mergeCell ref="AH38:BB38"/>
    <mergeCell ref="AH39:BB39"/>
    <mergeCell ref="BH60:BI60"/>
    <mergeCell ref="BE60:BF60"/>
    <mergeCell ref="AH43:BB43"/>
    <mergeCell ref="AH44:BB44"/>
    <mergeCell ref="AH45:BB45"/>
    <mergeCell ref="AT60:AV60"/>
    <mergeCell ref="AQ60:AS60"/>
    <mergeCell ref="BA59:BB59"/>
    <mergeCell ref="AY59:AZ59"/>
    <mergeCell ref="AQ52:AS59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BJ63:BL63"/>
    <mergeCell ref="BE62:BF62"/>
    <mergeCell ref="BC86:BD86"/>
    <mergeCell ref="AZ85:BD85"/>
    <mergeCell ref="AZ86:BB86"/>
    <mergeCell ref="AY73:AZ73"/>
    <mergeCell ref="BA78:BB78"/>
    <mergeCell ref="BC77:BD77"/>
    <mergeCell ref="BA77:BB77"/>
    <mergeCell ref="BA75:BB75"/>
    <mergeCell ref="AY78:AZ78"/>
    <mergeCell ref="BC78:BD78"/>
    <mergeCell ref="BC64:BD64"/>
    <mergeCell ref="BJ78:BL78"/>
    <mergeCell ref="BJ77:BL77"/>
    <mergeCell ref="BJ76:BL76"/>
    <mergeCell ref="BH74:BI74"/>
    <mergeCell ref="BJ75:BL75"/>
    <mergeCell ref="BH64:BI64"/>
    <mergeCell ref="BE73:BI73"/>
    <mergeCell ref="BC75:BD75"/>
    <mergeCell ref="BH75:BI75"/>
    <mergeCell ref="C86:D87"/>
    <mergeCell ref="E85:H85"/>
    <mergeCell ref="I83:L83"/>
    <mergeCell ref="AJ83:AN83"/>
    <mergeCell ref="C83:H83"/>
    <mergeCell ref="AE87:AY87"/>
    <mergeCell ref="I86:AC86"/>
    <mergeCell ref="AX83:BB83"/>
    <mergeCell ref="AY77:AZ77"/>
    <mergeCell ref="AY74:AZ74"/>
    <mergeCell ref="AW75:AX75"/>
    <mergeCell ref="AW77:AX77"/>
    <mergeCell ref="AW74:AX74"/>
    <mergeCell ref="AY76:AZ76"/>
    <mergeCell ref="BH77:BI77"/>
    <mergeCell ref="BH78:BI78"/>
    <mergeCell ref="BH76:BI76"/>
    <mergeCell ref="BC74:BD74"/>
    <mergeCell ref="BE78:BF78"/>
    <mergeCell ref="BC76:BD76"/>
    <mergeCell ref="BE74:BF74"/>
    <mergeCell ref="BE75:BF75"/>
    <mergeCell ref="C94:D95"/>
    <mergeCell ref="G61:I61"/>
    <mergeCell ref="I85:AY85"/>
    <mergeCell ref="K73:AG73"/>
    <mergeCell ref="I93:AY93"/>
    <mergeCell ref="I89:AY89"/>
    <mergeCell ref="C90:D91"/>
    <mergeCell ref="E90:H91"/>
    <mergeCell ref="E89:H89"/>
    <mergeCell ref="E86:H87"/>
    <mergeCell ref="E93:H93"/>
    <mergeCell ref="C45:D45"/>
    <mergeCell ref="C85:D85"/>
    <mergeCell ref="C89:D89"/>
    <mergeCell ref="E45:G45"/>
    <mergeCell ref="G64:I64"/>
    <mergeCell ref="G63:I63"/>
    <mergeCell ref="C93:D93"/>
    <mergeCell ref="G74:I74"/>
    <mergeCell ref="G62:I62"/>
    <mergeCell ref="C37:D37"/>
    <mergeCell ref="C38:D38"/>
    <mergeCell ref="C40:D40"/>
    <mergeCell ref="C39:D39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BC30:BE30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C16:W16"/>
    <mergeCell ref="C98:D99"/>
    <mergeCell ref="C97:D97"/>
    <mergeCell ref="AE90:AY90"/>
    <mergeCell ref="I90:AC90"/>
    <mergeCell ref="AE91:AY91"/>
    <mergeCell ref="I91:AC91"/>
    <mergeCell ref="E98:H99"/>
    <mergeCell ref="E97:H97"/>
    <mergeCell ref="E94:H95"/>
    <mergeCell ref="AE94:AY94"/>
    <mergeCell ref="I94:AC94"/>
    <mergeCell ref="I97:AY97"/>
    <mergeCell ref="AB16:AV16"/>
    <mergeCell ref="I87:AC87"/>
    <mergeCell ref="V83:W83"/>
    <mergeCell ref="K59:AG59"/>
    <mergeCell ref="AH78:AJ78"/>
    <mergeCell ref="AH77:AJ77"/>
    <mergeCell ref="AW78:AX78"/>
    <mergeCell ref="AE95:AY95"/>
    <mergeCell ref="I95:AC95"/>
    <mergeCell ref="AZ97:BD97"/>
    <mergeCell ref="AE98:AY98"/>
    <mergeCell ref="I98:AC98"/>
    <mergeCell ref="AZ91:BD91"/>
    <mergeCell ref="AZ90:BB90"/>
    <mergeCell ref="AZ89:BD89"/>
    <mergeCell ref="AZ99:BD99"/>
    <mergeCell ref="AZ93:BD93"/>
    <mergeCell ref="BC98:BD98"/>
    <mergeCell ref="BC94:BD94"/>
    <mergeCell ref="AZ95:BD95"/>
    <mergeCell ref="AZ98:BB98"/>
    <mergeCell ref="AZ94:BB94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BM75:BO75"/>
    <mergeCell ref="BM64:BO64"/>
    <mergeCell ref="BM63:BO63"/>
    <mergeCell ref="BM62:BO62"/>
    <mergeCell ref="BM73:BO73"/>
    <mergeCell ref="BM74:BO74"/>
    <mergeCell ref="BM78:BO78"/>
    <mergeCell ref="BM77:BO77"/>
    <mergeCell ref="BM76:BO76"/>
    <mergeCell ref="AN77:AP77"/>
    <mergeCell ref="BE77:BF77"/>
    <mergeCell ref="BE76:BF76"/>
    <mergeCell ref="BA76:BB76"/>
    <mergeCell ref="AQ78:AS78"/>
    <mergeCell ref="AQ76:AS76"/>
    <mergeCell ref="AW76:AX76"/>
    <mergeCell ref="M78:AG78"/>
    <mergeCell ref="M77:AG77"/>
    <mergeCell ref="AQ77:AS77"/>
    <mergeCell ref="AT78:AV78"/>
    <mergeCell ref="AT77:AV77"/>
    <mergeCell ref="AN78:AP78"/>
    <mergeCell ref="AK78:AM78"/>
    <mergeCell ref="AK77:AM77"/>
    <mergeCell ref="C41:D41"/>
    <mergeCell ref="M76:AG76"/>
    <mergeCell ref="M75:AG75"/>
    <mergeCell ref="C64:F64"/>
    <mergeCell ref="C63:F63"/>
    <mergeCell ref="C62:F62"/>
    <mergeCell ref="C44:D44"/>
    <mergeCell ref="L44:AF44"/>
    <mergeCell ref="C43:D43"/>
    <mergeCell ref="E41:G41"/>
    <mergeCell ref="AH36:BB36"/>
    <mergeCell ref="C17:W17"/>
    <mergeCell ref="M62:AG62"/>
    <mergeCell ref="M61:AG61"/>
    <mergeCell ref="M60:AG60"/>
    <mergeCell ref="L25:BB25"/>
    <mergeCell ref="L28:AF28"/>
    <mergeCell ref="C61:F61"/>
    <mergeCell ref="C60:F60"/>
    <mergeCell ref="C42:D42"/>
    <mergeCell ref="AH35:BB35"/>
    <mergeCell ref="E32:G32"/>
    <mergeCell ref="H31:K31"/>
    <mergeCell ref="L26:AF26"/>
    <mergeCell ref="E30:G30"/>
    <mergeCell ref="E27:G27"/>
    <mergeCell ref="H29:K29"/>
    <mergeCell ref="L31:AF31"/>
    <mergeCell ref="L32:AF32"/>
    <mergeCell ref="H32:K32"/>
    <mergeCell ref="C33:D33"/>
    <mergeCell ref="C34:D34"/>
    <mergeCell ref="C36:D36"/>
    <mergeCell ref="E34:G34"/>
    <mergeCell ref="E36:G36"/>
    <mergeCell ref="E35:G35"/>
    <mergeCell ref="C35:D35"/>
    <mergeCell ref="E33:G33"/>
    <mergeCell ref="E25:G25"/>
    <mergeCell ref="L29:AF29"/>
    <mergeCell ref="AB21:AV21"/>
    <mergeCell ref="AB20:AV20"/>
    <mergeCell ref="AH27:BB27"/>
    <mergeCell ref="AH26:BB26"/>
    <mergeCell ref="AH33:BB33"/>
    <mergeCell ref="AE86:AY86"/>
    <mergeCell ref="AH52:AJ59"/>
    <mergeCell ref="AK52:AM59"/>
    <mergeCell ref="AN52:AP59"/>
    <mergeCell ref="AH66:AJ73"/>
    <mergeCell ref="AK66:AM73"/>
    <mergeCell ref="AN66:AP73"/>
    <mergeCell ref="AT64:AV64"/>
    <mergeCell ref="AH34:BB34"/>
    <mergeCell ref="AK76:AM76"/>
    <mergeCell ref="C75:F75"/>
    <mergeCell ref="G75:I75"/>
    <mergeCell ref="AN76:AP76"/>
    <mergeCell ref="AN75:AP75"/>
    <mergeCell ref="C3:AT3"/>
    <mergeCell ref="C2:AT2"/>
    <mergeCell ref="C8:AT8"/>
    <mergeCell ref="C6:AT6"/>
    <mergeCell ref="C4:AT4"/>
    <mergeCell ref="C77:F77"/>
    <mergeCell ref="G77:I77"/>
    <mergeCell ref="AN61:AP61"/>
    <mergeCell ref="AH63:AJ63"/>
    <mergeCell ref="AH62:AJ62"/>
    <mergeCell ref="AH76:AJ76"/>
    <mergeCell ref="AH75:AJ75"/>
    <mergeCell ref="AH74:AJ74"/>
    <mergeCell ref="C76:F76"/>
    <mergeCell ref="G76:I76"/>
    <mergeCell ref="C78:F78"/>
    <mergeCell ref="G78:I78"/>
    <mergeCell ref="BE94:BH94"/>
    <mergeCell ref="BE93:BH93"/>
    <mergeCell ref="BE91:BH91"/>
    <mergeCell ref="BE90:BH90"/>
    <mergeCell ref="AP83:AW83"/>
    <mergeCell ref="Y83:AC83"/>
    <mergeCell ref="BC90:BD90"/>
    <mergeCell ref="AZ87:BD87"/>
    <mergeCell ref="BE99:BH99"/>
    <mergeCell ref="BE98:BH98"/>
    <mergeCell ref="BE97:BH97"/>
    <mergeCell ref="BE95:BH95"/>
    <mergeCell ref="V11:W11"/>
    <mergeCell ref="AB17:AV17"/>
    <mergeCell ref="C21:W21"/>
    <mergeCell ref="C18:W18"/>
    <mergeCell ref="C20:W20"/>
    <mergeCell ref="C19:W19"/>
    <mergeCell ref="AB19:AV19"/>
    <mergeCell ref="AB18:AV18"/>
    <mergeCell ref="E31:G31"/>
    <mergeCell ref="L27:AF27"/>
    <mergeCell ref="G60:I60"/>
    <mergeCell ref="L43:AF43"/>
    <mergeCell ref="E44:G44"/>
    <mergeCell ref="E40:G40"/>
    <mergeCell ref="E43:G43"/>
    <mergeCell ref="E42:G42"/>
    <mergeCell ref="K60:L60"/>
    <mergeCell ref="H36:K36"/>
    <mergeCell ref="AH40:BB40"/>
    <mergeCell ref="E38:G38"/>
    <mergeCell ref="H38:K38"/>
    <mergeCell ref="L42:AF42"/>
    <mergeCell ref="E39:G39"/>
    <mergeCell ref="AH41:BB41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1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44</v>
      </c>
      <c r="G3" s="146" t="s">
        <v>14</v>
      </c>
      <c r="H3" s="144" t="s">
        <v>45</v>
      </c>
      <c r="I3" s="144" t="s">
        <v>46</v>
      </c>
      <c r="J3" s="146"/>
      <c r="K3" s="144" t="s">
        <v>47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1</v>
      </c>
      <c r="C4" s="144">
        <f>D4+ROW()/1000</f>
        <v>1.004</v>
      </c>
      <c r="D4" s="144">
        <f>RANK(J4,$J$4:$J$8)</f>
        <v>1</v>
      </c>
      <c r="E4" s="146" t="str">
        <f>VLOOKUP(A4,Ergebniseingabe!$A$19:$V$23,2,0)</f>
        <v>SV Spexard</v>
      </c>
      <c r="F4" s="146">
        <f>SUMPRODUCT((E4=Ergebniseingabe!$K$28:$K$47)*(Ergebniseingabe!$BB$28:$BB$47))+SUMPRODUCT((E4=Ergebniseingabe!$AG$28:$BA$47)*(Ergebniseingabe!$BE$28:$BE$47))</f>
        <v>9</v>
      </c>
      <c r="G4" s="146">
        <f>SUMPRODUCT((E4=Ergebniseingabe!$K$28:$AE$47)*(Ergebniseingabe!$BE$28:$BE$47))+SUMPRODUCT((E4=Ergebniseingabe!$AG$28:$BA$47)*(Ergebniseingabe!$BB$28:$BB$47))</f>
        <v>4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8</v>
      </c>
      <c r="I4" s="147">
        <f>F4-G4</f>
        <v>5</v>
      </c>
      <c r="J4" s="146">
        <f>H4*100000+I4*1000+F4</f>
        <v>805009</v>
      </c>
      <c r="K4" s="146">
        <f>SUMPRODUCT((Ergebniseingabe!$K$28:$AE$47=E4)*(Ergebniseingabe!$BB$28:$BB$47&lt;&gt;""))+SUMPRODUCT((Ergebniseingabe!$AG$28:$BA$47=E4)*(Ergebniseingabe!$BE$28:$BE$47&lt;&gt;""))</f>
        <v>4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2</v>
      </c>
      <c r="M4" s="146">
        <f>SUMPRODUCT((Ergebniseingabe!$K$28:$BA$47=E4)*(Ergebniseingabe!$BB$28:$BB$47=Ergebniseingabe!$BE$28:$BE$47)*(Ergebniseingabe!$BB$28:$BB$47&lt;&gt;"")*(Ergebniseingabe!$BE$28:$BE$47&lt;&gt;""))</f>
        <v>2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0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5</v>
      </c>
      <c r="C5" s="144">
        <f>D5+ROW()/1000</f>
        <v>5.005</v>
      </c>
      <c r="D5" s="144">
        <f>RANK(J5,$J$4:$J$8)</f>
        <v>5</v>
      </c>
      <c r="E5" s="146" t="str">
        <f>VLOOKUP(A5,Ergebniseingabe!$A$19:$V$23,2,0)</f>
        <v>Vikt. Rietberg</v>
      </c>
      <c r="F5" s="146">
        <f>SUMPRODUCT((E5=Ergebniseingabe!$K$28:$K$47)*(Ergebniseingabe!$BB$28:$BB$47))+SUMPRODUCT((E5=Ergebniseingabe!$AG$28:$BA$47)*(Ergebniseingabe!$BE$28:$BE$47))</f>
        <v>5</v>
      </c>
      <c r="G5" s="146">
        <f>SUMPRODUCT((E5=Ergebniseingabe!$K$28:$AE$47)*(Ergebniseingabe!$BE$28:$BE$47))+SUMPRODUCT((E5=Ergebniseingabe!$AG$28:$BA$47)*(Ergebniseingabe!$BB$28:$BB$47))</f>
        <v>9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3</v>
      </c>
      <c r="I5" s="147">
        <f>F5-G5</f>
        <v>-4</v>
      </c>
      <c r="J5" s="146">
        <f>H5*100000+I5*1000+F5</f>
        <v>296005</v>
      </c>
      <c r="K5" s="146">
        <f>SUMPRODUCT((Ergebniseingabe!$K$28:$AE$47=E5)*(Ergebniseingabe!$BB$28:$BB$47&lt;&gt;""))+SUMPRODUCT((Ergebniseingabe!$AG$28:$BA$47=E5)*(Ergebniseingabe!$BE$28:$BE$47&lt;&gt;""))</f>
        <v>4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0</v>
      </c>
      <c r="M5" s="146">
        <f>SUMPRODUCT((Ergebniseingabe!$K$28:$BA$47=E5)*(Ergebniseingabe!$BB$28:$BB$47=Ergebniseingabe!$BE$28:$BE$47)*(Ergebniseingabe!$BB$28:$BB$47&lt;&gt;"")*(Ergebniseingabe!$BE$28:$BE$47&lt;&gt;""))</f>
        <v>3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1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3</v>
      </c>
      <c r="C6" s="144">
        <f>D6+ROW()/1000</f>
        <v>3.006</v>
      </c>
      <c r="D6" s="144">
        <f>RANK(J6,$J$4:$J$8)</f>
        <v>3</v>
      </c>
      <c r="E6" s="146" t="str">
        <f>VLOOKUP(A6,Ergebniseingabe!$A$19:$V$23,2,0)</f>
        <v>SC Wiedenbrück II</v>
      </c>
      <c r="F6" s="146">
        <f>SUMPRODUCT((E6=Ergebniseingabe!$K$28:$K$47)*(Ergebniseingabe!$BB$28:$BB$47))+SUMPRODUCT((E6=Ergebniseingabe!$AG$28:$BA$47)*(Ergebniseingabe!$BE$28:$BE$47))</f>
        <v>4</v>
      </c>
      <c r="G6" s="146">
        <f>SUMPRODUCT((E6=Ergebniseingabe!$K$28:$AE$47)*(Ergebniseingabe!$BE$28:$BE$47))+SUMPRODUCT((E6=Ergebniseingabe!$AG$28:$BA$47)*(Ergebniseingabe!$BB$28:$BB$47))</f>
        <v>7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5</v>
      </c>
      <c r="I6" s="147">
        <f>F6-G6</f>
        <v>-3</v>
      </c>
      <c r="J6" s="146">
        <f>H6*100000+I6*1000+F6</f>
        <v>497004</v>
      </c>
      <c r="K6" s="146">
        <f>SUMPRODUCT((Ergebniseingabe!$K$28:$AE$47=E6)*(Ergebniseingabe!$BB$28:$BB$47&lt;&gt;""))+SUMPRODUCT((Ergebniseingabe!$AG$28:$BA$47=E6)*(Ergebniseingabe!$BE$28:$BE$47&lt;&gt;""))</f>
        <v>4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1</v>
      </c>
      <c r="M6" s="146">
        <f>SUMPRODUCT((Ergebniseingabe!$K$28:$BA$47=E6)*(Ergebniseingabe!$BB$28:$BB$47=Ergebniseingabe!$BE$28:$BE$47)*(Ergebniseingabe!$BB$28:$BB$47&lt;&gt;"")*(Ergebniseingabe!$BE$28:$BE$47&lt;&gt;""))</f>
        <v>2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1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2</v>
      </c>
      <c r="C7" s="144">
        <f>D7+ROW()/1000</f>
        <v>2.007</v>
      </c>
      <c r="D7" s="144">
        <f>RANK(J7,$J$4:$J$8)</f>
        <v>2</v>
      </c>
      <c r="E7" s="146" t="str">
        <f>VLOOKUP(A7,Ergebniseingabe!$A$19:$V$23,2,0)</f>
        <v>BW 98 Gütersloh</v>
      </c>
      <c r="F7" s="146">
        <f>SUMPRODUCT((E7=Ergebniseingabe!$K$28:$K$47)*(Ergebniseingabe!$BB$28:$BB$47))+SUMPRODUCT((E7=Ergebniseingabe!$AG$28:$BA$47)*(Ergebniseingabe!$BE$28:$BE$47))</f>
        <v>8</v>
      </c>
      <c r="G7" s="146">
        <f>SUMPRODUCT((E7=Ergebniseingabe!$K$28:$AE$47)*(Ergebniseingabe!$BE$28:$BE$47))+SUMPRODUCT((E7=Ergebniseingabe!$AG$28:$BA$47)*(Ergebniseingabe!$BB$28:$BB$47))</f>
        <v>5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6</v>
      </c>
      <c r="I7" s="147">
        <f>F7-G7</f>
        <v>3</v>
      </c>
      <c r="J7" s="146">
        <f>H7*100000+I7*1000+F7</f>
        <v>603008</v>
      </c>
      <c r="K7" s="146">
        <f>SUMPRODUCT((Ergebniseingabe!$K$28:$AE$47=E7)*(Ergebniseingabe!$BB$28:$BB$47&lt;&gt;""))+SUMPRODUCT((Ergebniseingabe!$AG$28:$BA$47=E7)*(Ergebniseingabe!$BE$28:$BE$47&lt;&gt;""))</f>
        <v>4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2</v>
      </c>
      <c r="M7" s="146">
        <f>SUMPRODUCT((Ergebniseingabe!$K$28:$BA$47=E7)*(Ergebniseingabe!$BB$28:$BB$47=Ergebniseingabe!$BE$28:$BE$47)*(Ergebniseingabe!$BB$28:$BB$47&lt;&gt;"")*(Ergebniseingabe!$BE$28:$BE$47&lt;&gt;""))</f>
        <v>0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2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4</v>
      </c>
      <c r="C8" s="144">
        <f>D8+ROW()/1000</f>
        <v>4.008</v>
      </c>
      <c r="D8" s="144">
        <f>RANK(J8,$J$4:$J$8)</f>
        <v>4</v>
      </c>
      <c r="E8" s="146" t="str">
        <f>VLOOKUP(A8,Ergebniseingabe!$A$19:$V$23,2,0)</f>
        <v>SC Verl II</v>
      </c>
      <c r="F8" s="146">
        <f>SUMPRODUCT((E8=Ergebniseingabe!$K$28:$K$47)*(Ergebniseingabe!$BB$28:$BB$47))+SUMPRODUCT((E8=Ergebniseingabe!$AG$28:$BA$47)*(Ergebniseingabe!$BE$28:$BE$47))</f>
        <v>5</v>
      </c>
      <c r="G8" s="146">
        <f>SUMPRODUCT((E8=Ergebniseingabe!$K$28:$AE$47)*(Ergebniseingabe!$BE$28:$BE$47))+SUMPRODUCT((E8=Ergebniseingabe!$AG$28:$BA$47)*(Ergebniseingabe!$BB$28:$BB$47))</f>
        <v>6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3</v>
      </c>
      <c r="I8" s="147">
        <f>F8-G8</f>
        <v>-1</v>
      </c>
      <c r="J8" s="146">
        <f>H8*100000+I8*1000+F8</f>
        <v>299005</v>
      </c>
      <c r="K8" s="146">
        <f>SUMPRODUCT((Ergebniseingabe!$K$28:$AE$47=E8)*(Ergebniseingabe!$BB$28:$BB$47&lt;&gt;""))+SUMPRODUCT((Ergebniseingabe!$AG$28:$BA$47=E8)*(Ergebniseingabe!$BE$28:$BE$47&lt;&gt;""))</f>
        <v>4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46">
        <f>SUMPRODUCT((Ergebniseingabe!$K$28:$BA$47=E8)*(Ergebniseingabe!$BB$28:$BB$47=Ergebniseingabe!$BE$28:$BE$47)*(Ergebniseingabe!$BB$28:$BB$47&lt;&gt;"")*(Ergebniseingabe!$BE$28:$BE$47&lt;&gt;""))</f>
        <v>3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1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1</v>
      </c>
      <c r="E9" s="144"/>
      <c r="F9" s="144"/>
      <c r="G9" s="144"/>
      <c r="H9" s="144"/>
      <c r="I9" s="144"/>
      <c r="J9" s="144"/>
      <c r="K9" s="144">
        <f>SUM(K4:K8)</f>
        <v>20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1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2</v>
      </c>
      <c r="C13" s="144">
        <f>D13+ROW()/1000</f>
        <v>2.013</v>
      </c>
      <c r="D13" s="144">
        <f>RANK(J13,$J$13:$J$17)</f>
        <v>2</v>
      </c>
      <c r="E13" s="146" t="str">
        <f>VLOOKUP(A13,Ergebniseingabe!$Z$19:$AU$23,2,0)</f>
        <v>SV Avenwedde</v>
      </c>
      <c r="F13" s="146">
        <f>SUMPRODUCT((E13=Ergebniseingabe!$K$28:$AE$47)*(Ergebniseingabe!$BB$28:$BB$47))+SUMPRODUCT((E13=Ergebniseingabe!$AG$28:$BA$47)*(Ergebniseingabe!$BE$28:$BE$47))</f>
        <v>10</v>
      </c>
      <c r="G13" s="146">
        <f>SUMPRODUCT((E13=Ergebniseingabe!$K$28:$AE$47)*(Ergebniseingabe!$BE$28:$BE$47))+SUMPRODUCT((E13=Ergebniseingabe!$AG$28:$BA$47)*(Ergebniseingabe!$BB$28:$BB$47))</f>
        <v>2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9</v>
      </c>
      <c r="I13" s="147">
        <f>F13-G13</f>
        <v>8</v>
      </c>
      <c r="J13" s="146">
        <f>H13*100000+I13*1000+F13</f>
        <v>908010</v>
      </c>
      <c r="K13" s="146">
        <f>SUMPRODUCT((Ergebniseingabe!$K$28:$AE$47=E13)*(Ergebniseingabe!$BB$28:$BB$47&lt;&gt;""))+SUMPRODUCT((Ergebniseingabe!$AG$28:$BA$47=E13)*(Ergebniseingabe!$BE$28:$BE$47&lt;&gt;""))</f>
        <v>4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3</v>
      </c>
      <c r="M13" s="146">
        <f>SUMPRODUCT((Ergebniseingabe!$K$28:$BA$47=E13)*(Ergebniseingabe!$BB$28:$BB$47=Ergebniseingabe!$BE$28:$BE$47)*(Ergebniseingabe!$BB$28:$BB$47&lt;&gt;"")*(Ergebniseingabe!$BE$28:$BE$47&lt;&gt;""))</f>
        <v>0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1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3</v>
      </c>
      <c r="C14" s="144">
        <f>D14+ROW()/1000</f>
        <v>3.014</v>
      </c>
      <c r="D14" s="144">
        <f>RANK(J14,$J$13:$J$17)</f>
        <v>3</v>
      </c>
      <c r="E14" s="146" t="str">
        <f>VLOOKUP(A14,Ergebniseingabe!$Z$19:$AU$23,2,0)</f>
        <v>SCE Gütersloh</v>
      </c>
      <c r="F14" s="146">
        <f>SUMPRODUCT((E14=Ergebniseingabe!$K$28:$AE$47)*(Ergebniseingabe!$BB$28:$BB$47))+SUMPRODUCT((E14=Ergebniseingabe!$AG$28:$BA$47)*(Ergebniseingabe!$BE$28:$BE$47))</f>
        <v>11</v>
      </c>
      <c r="G14" s="146">
        <f>SUMPRODUCT((E14=Ergebniseingabe!$K$28:$AE$47)*(Ergebniseingabe!$BE$28:$BE$47))+SUMPRODUCT((E14=Ergebniseingabe!$AG$28:$BA$47)*(Ergebniseingabe!$BB$28:$BB$47))</f>
        <v>13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6</v>
      </c>
      <c r="I14" s="147">
        <f>F14-G14</f>
        <v>-2</v>
      </c>
      <c r="J14" s="146">
        <f>H14*100000+I14*1000+F14</f>
        <v>598011</v>
      </c>
      <c r="K14" s="146">
        <f>SUMPRODUCT((Ergebniseingabe!$K$28:$AE$47=E14)*(Ergebniseingabe!$BB$28:$BB$47&lt;&gt;""))+SUMPRODUCT((Ergebniseingabe!$AG$28:$BA$47=E14)*(Ergebniseingabe!$BE$28:$BE$47&lt;&gt;""))</f>
        <v>4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2</v>
      </c>
      <c r="M14" s="146">
        <f>SUMPRODUCT((Ergebniseingabe!$K$28:$BA$47=E14)*(Ergebniseingabe!$BB$28:$BB$47=Ergebniseingabe!$BE$28:$BE$47)*(Ergebniseingabe!$BB$28:$BB$47&lt;&gt;"")*(Ergebniseingabe!$BE$28:$BE$47&lt;&gt;""))</f>
        <v>0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2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5</v>
      </c>
      <c r="C15" s="144">
        <f>D15+ROW()/1000</f>
        <v>5.015</v>
      </c>
      <c r="D15" s="144">
        <f>RANK(J15,$J$13:$J$17)</f>
        <v>5</v>
      </c>
      <c r="E15" s="146" t="str">
        <f>VLOOKUP(A15,Ergebniseingabe!$Z$19:$AU$23,2,0)</f>
        <v>SC Blankenhagen</v>
      </c>
      <c r="F15" s="146">
        <f>SUMPRODUCT((E15=Ergebniseingabe!$K$28:$AE$47)*(Ergebniseingabe!$BB$28:$BB$47))+SUMPRODUCT((E15=Ergebniseingabe!$AG$28:$BA$47)*(Ergebniseingabe!$BE$28:$BE$47))</f>
        <v>3</v>
      </c>
      <c r="G15" s="146">
        <f>SUMPRODUCT((E15=Ergebniseingabe!$K$28:$AE$47)*(Ergebniseingabe!$BE$28:$BE$47))+SUMPRODUCT((E15=Ergebniseingabe!$AG$28:$BA$47)*(Ergebniseingabe!$BB$28:$BB$47))</f>
        <v>15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0</v>
      </c>
      <c r="I15" s="147">
        <f>F15-G15</f>
        <v>-12</v>
      </c>
      <c r="J15" s="146">
        <f>H15*100000+I15*1000+F15</f>
        <v>-11997</v>
      </c>
      <c r="K15" s="146">
        <f>SUMPRODUCT((Ergebniseingabe!$K$28:$AE$47=E15)*(Ergebniseingabe!$BB$28:$BB$47&lt;&gt;""))+SUMPRODUCT((Ergebniseingabe!$AG$28:$BA$47=E15)*(Ergebniseingabe!$BE$28:$BE$47&lt;&gt;""))</f>
        <v>4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0</v>
      </c>
      <c r="M15" s="146">
        <f>SUMPRODUCT((Ergebniseingabe!$K$28:$BA$47=E15)*(Ergebniseingabe!$BB$28:$BB$47=Ergebniseingabe!$BE$28:$BE$47)*(Ergebniseingabe!$BB$28:$BB$47&lt;&gt;"")*(Ergebniseingabe!$BE$28:$BE$47&lt;&gt;""))</f>
        <v>0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4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1</v>
      </c>
      <c r="C16" s="144">
        <f>D16+ROW()/1000</f>
        <v>1.016</v>
      </c>
      <c r="D16" s="144">
        <f>RANK(J16,$J$13:$J$17)</f>
        <v>1</v>
      </c>
      <c r="E16" s="146" t="str">
        <f>VLOOKUP(A16,Ergebniseingabe!$Z$19:$AU$23,2,0)</f>
        <v>TuS Friedrichsdorf</v>
      </c>
      <c r="F16" s="146">
        <f>SUMPRODUCT((E16=Ergebniseingabe!$K$28:$AE$47)*(Ergebniseingabe!$BB$28:$BB$47))+SUMPRODUCT((E16=Ergebniseingabe!$AG$28:$BA$47)*(Ergebniseingabe!$BE$28:$BE$47))</f>
        <v>15</v>
      </c>
      <c r="G16" s="146">
        <f>SUMPRODUCT((E16=Ergebniseingabe!$K$28:$AE$47)*(Ergebniseingabe!$BE$28:$BE$47))+SUMPRODUCT((E16=Ergebniseingabe!$AG$28:$BA$47)*(Ergebniseingabe!$BB$28:$BB$47))</f>
        <v>9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12</v>
      </c>
      <c r="I16" s="147">
        <f>F16-G16</f>
        <v>6</v>
      </c>
      <c r="J16" s="146">
        <f>H16*100000+I16*1000+F16</f>
        <v>1206015</v>
      </c>
      <c r="K16" s="146">
        <f>SUMPRODUCT((Ergebniseingabe!$K$28:$AE$47=E16)*(Ergebniseingabe!$BB$28:$BB$47&lt;&gt;""))+SUMPRODUCT((Ergebniseingabe!$AG$28:$BA$47=E16)*(Ergebniseingabe!$BE$28:$BE$47&lt;&gt;""))</f>
        <v>4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4</v>
      </c>
      <c r="M16" s="146">
        <f>SUMPRODUCT((Ergebniseingabe!$K$28:$BA$47=E16)*(Ergebniseingabe!$BB$28:$BB$47=Ergebniseingabe!$BE$28:$BE$47)*(Ergebniseingabe!$BB$28:$BB$47&lt;&gt;"")*(Ergebniseingabe!$BE$28:$BE$47&lt;&gt;""))</f>
        <v>0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0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4</v>
      </c>
      <c r="C17" s="144">
        <f>D17+ROW()/1000</f>
        <v>4.017</v>
      </c>
      <c r="D17" s="144">
        <f>RANK(J17,$J$13:$J$17)</f>
        <v>4</v>
      </c>
      <c r="E17" s="146" t="str">
        <f>VLOOKUP(A17,Ergebniseingabe!$Z$19:$AU$23,2,0)</f>
        <v>SCC Italia Gütersloh</v>
      </c>
      <c r="F17" s="146">
        <f>SUMPRODUCT((E17=Ergebniseingabe!$K$28:$AE$47)*(Ergebniseingabe!$BB$28:$BB$47))+SUMPRODUCT((E17=Ergebniseingabe!$AG$28:$BA$47)*(Ergebniseingabe!$BE$28:$BE$47))</f>
        <v>8</v>
      </c>
      <c r="G17" s="146">
        <f>SUMPRODUCT((E17=Ergebniseingabe!$K$28:$AE$47)*(Ergebniseingabe!$BE$28:$BE$47))+SUMPRODUCT((E17=Ergebniseingabe!$AG$28:$BA$47)*(Ergebniseingabe!$BB$28:$BB$47))</f>
        <v>8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3</v>
      </c>
      <c r="I17" s="147">
        <f>F17-G17</f>
        <v>0</v>
      </c>
      <c r="J17" s="146">
        <f>H17*100000+I17*1000+F17</f>
        <v>300008</v>
      </c>
      <c r="K17" s="146">
        <f>SUMPRODUCT((Ergebniseingabe!$K$28:$AE$47=E17)*(Ergebniseingabe!$BB$28:$BB$47&lt;&gt;""))+SUMPRODUCT((Ergebniseingabe!$AG$28:$BA$47=E17)*(Ergebniseingabe!$BE$28:$BE$47&lt;&gt;""))</f>
        <v>4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1</v>
      </c>
      <c r="M17" s="146">
        <f>SUMPRODUCT((Ergebniseingabe!$K$28:$BA$47=E17)*(Ergebniseingabe!$BB$28:$BB$47=Ergebniseingabe!$BE$28:$BE$47)*(Ergebniseingabe!$BB$28:$BB$47&lt;&gt;"")*(Ergebniseingabe!$BE$28:$BE$47&lt;&gt;""))</f>
        <v>0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3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1</v>
      </c>
      <c r="E18" s="146"/>
      <c r="F18" s="146"/>
      <c r="G18" s="146"/>
      <c r="H18" s="146"/>
      <c r="I18" s="146"/>
      <c r="J18" s="146"/>
      <c r="K18" s="144">
        <f>SUM(K13:K17)</f>
        <v>20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SV SpexardVikt. Rietberg</v>
      </c>
      <c r="D21" s="139" t="str">
        <f>E4</f>
        <v>SV Spexard</v>
      </c>
      <c r="E21" s="139" t="str">
        <f>E5</f>
        <v>Vikt. Rietberg</v>
      </c>
      <c r="F21" s="139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1:1</v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SV SpexardSC Wiedenbrück II</v>
      </c>
      <c r="D22" s="139" t="str">
        <f>E4</f>
        <v>SV Spexard</v>
      </c>
      <c r="E22" s="139" t="str">
        <f>E6</f>
        <v>SC Wiedenbrück II</v>
      </c>
      <c r="F22" s="139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4:0</v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SV SpexardBW 98 Gütersloh</v>
      </c>
      <c r="D23" s="139" t="str">
        <f>E4</f>
        <v>SV Spexard</v>
      </c>
      <c r="E23" s="139" t="str">
        <f>E7</f>
        <v>BW 98 Gütersloh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3:2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SV SpexardSC Verl II</v>
      </c>
      <c r="D24" s="139" t="str">
        <f>E4</f>
        <v>SV Spexard</v>
      </c>
      <c r="E24" s="139" t="str">
        <f>E8</f>
        <v>SC Verl II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1:1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Vikt. RietbergSC Wiedenbrück II</v>
      </c>
      <c r="D25" s="139" t="str">
        <f>E5</f>
        <v>Vikt. Rietberg</v>
      </c>
      <c r="E25" s="139" t="str">
        <f>E6</f>
        <v>SC Wiedenbrück II</v>
      </c>
      <c r="F25" s="139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1:1</v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Vikt. RietbergBW 98 Gütersloh</v>
      </c>
      <c r="D26" s="139" t="str">
        <f>E5</f>
        <v>Vikt. Rietberg</v>
      </c>
      <c r="E26" s="139" t="str">
        <f>E7</f>
        <v>BW 98 Gütersloh</v>
      </c>
      <c r="F26" s="139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1:5</v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Vikt. RietbergSC Verl II</v>
      </c>
      <c r="D27" s="139" t="str">
        <f>E5</f>
        <v>Vikt. Rietberg</v>
      </c>
      <c r="E27" s="139" t="str">
        <f>E8</f>
        <v>SC Verl II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2:2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SC Wiedenbrück IIBW 98 Gütersloh</v>
      </c>
      <c r="D28" s="139" t="str">
        <f>E6</f>
        <v>SC Wiedenbrück II</v>
      </c>
      <c r="E28" s="139" t="str">
        <f>E7</f>
        <v>BW 98 Gütersloh</v>
      </c>
      <c r="F28" s="139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1:0</v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SC Wiedenbrück IISC Verl II</v>
      </c>
      <c r="D29" s="139" t="str">
        <f>E6</f>
        <v>SC Wiedenbrück II</v>
      </c>
      <c r="E29" s="139" t="str">
        <f>E8</f>
        <v>SC Verl II</v>
      </c>
      <c r="F29" s="139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2:2</v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BW 98 GüterslohSC Verl II</v>
      </c>
      <c r="D30" s="139" t="str">
        <f>E7</f>
        <v>BW 98 Gütersloh</v>
      </c>
      <c r="E30" s="139" t="str">
        <f>E8</f>
        <v>SC Verl II</v>
      </c>
      <c r="F30" s="139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1:0</v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Vikt. RietbergSV Spexard</v>
      </c>
      <c r="D31" s="139" t="str">
        <f aca="true" t="shared" si="1" ref="D31:D40">E21</f>
        <v>Vikt. Rietberg</v>
      </c>
      <c r="E31" s="139" t="str">
        <f aca="true" t="shared" si="2" ref="E31:E40">D21</f>
        <v>SV Spexard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1:1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SC Wiedenbrück IISV Spexard</v>
      </c>
      <c r="D32" s="139" t="str">
        <f t="shared" si="1"/>
        <v>SC Wiedenbrück II</v>
      </c>
      <c r="E32" s="139" t="str">
        <f t="shared" si="2"/>
        <v>SV Spexard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0:4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BW 98 GüterslohSV Spexard</v>
      </c>
      <c r="D33" s="139" t="str">
        <f t="shared" si="1"/>
        <v>BW 98 Gütersloh</v>
      </c>
      <c r="E33" s="139" t="str">
        <f t="shared" si="2"/>
        <v>SV Spexard</v>
      </c>
      <c r="F33" s="139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2:3</v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SC Verl IISV Spexard</v>
      </c>
      <c r="D34" s="139" t="str">
        <f t="shared" si="1"/>
        <v>SC Verl II</v>
      </c>
      <c r="E34" s="139" t="str">
        <f t="shared" si="2"/>
        <v>SV Spexard</v>
      </c>
      <c r="F34" s="139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1:1</v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SC Wiedenbrück IIVikt. Rietberg</v>
      </c>
      <c r="D35" s="139" t="str">
        <f t="shared" si="1"/>
        <v>SC Wiedenbrück II</v>
      </c>
      <c r="E35" s="139" t="str">
        <f t="shared" si="2"/>
        <v>Vikt. Rietberg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1:1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BW 98 GüterslohVikt. Rietberg</v>
      </c>
      <c r="D36" s="139" t="str">
        <f t="shared" si="1"/>
        <v>BW 98 Gütersloh</v>
      </c>
      <c r="E36" s="139" t="str">
        <f t="shared" si="2"/>
        <v>Vikt. Rietberg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5:1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SC Verl IIVikt. Rietberg</v>
      </c>
      <c r="D37" s="139" t="str">
        <f t="shared" si="1"/>
        <v>SC Verl II</v>
      </c>
      <c r="E37" s="139" t="str">
        <f t="shared" si="2"/>
        <v>Vikt. Rietberg</v>
      </c>
      <c r="F37" s="139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2:2</v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BW 98 GüterslohSC Wiedenbrück II</v>
      </c>
      <c r="D38" s="139" t="str">
        <f t="shared" si="1"/>
        <v>BW 98 Gütersloh</v>
      </c>
      <c r="E38" s="139" t="str">
        <f t="shared" si="2"/>
        <v>SC Wiedenbrück II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0:1</v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SC Verl IISC Wiedenbrück II</v>
      </c>
      <c r="D39" s="139" t="str">
        <f t="shared" si="1"/>
        <v>SC Verl II</v>
      </c>
      <c r="E39" s="139" t="str">
        <f t="shared" si="2"/>
        <v>SC Wiedenbrück II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2:2</v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SC Verl IIBW 98 Gütersloh</v>
      </c>
      <c r="D40" s="139" t="str">
        <f t="shared" si="1"/>
        <v>SC Verl II</v>
      </c>
      <c r="E40" s="139" t="str">
        <f t="shared" si="2"/>
        <v>BW 98 Gütersloh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0:1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SV AvenweddeSCE Gütersloh</v>
      </c>
      <c r="D41" s="139" t="str">
        <f>E13</f>
        <v>SV Avenwedde</v>
      </c>
      <c r="E41" s="139" t="str">
        <f>E14</f>
        <v>SCE Gütersloh</v>
      </c>
      <c r="F41" s="139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4:0</v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SV AvenweddeSC Blankenhagen</v>
      </c>
      <c r="D42" s="139" t="str">
        <f>E13</f>
        <v>SV Avenwedde</v>
      </c>
      <c r="E42" s="139" t="str">
        <f>E15</f>
        <v>SC Blankenhagen</v>
      </c>
      <c r="F42" s="139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4:0</v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SV AvenweddeTuS Friedrichsdorf</v>
      </c>
      <c r="D43" s="139" t="str">
        <f>E13</f>
        <v>SV Avenwedde</v>
      </c>
      <c r="E43" s="139" t="str">
        <f>E16</f>
        <v>TuS Friedrichsdorf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1:2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SV AvenweddeSCC Italia Gütersloh</v>
      </c>
      <c r="D44" s="139" t="str">
        <f>E13</f>
        <v>SV Avenwedde</v>
      </c>
      <c r="E44" s="139" t="str">
        <f>E17</f>
        <v>SCC Italia Gütersloh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1:0</v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SCE GüterslohSC Blankenhagen</v>
      </c>
      <c r="D45" s="139" t="str">
        <f>E14</f>
        <v>SCE Gütersloh</v>
      </c>
      <c r="E45" s="139" t="str">
        <f>E15</f>
        <v>SC Blankenhagen</v>
      </c>
      <c r="F45" s="139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4:2</v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SCE GüterslohTuS Friedrichsdorf</v>
      </c>
      <c r="D46" s="139" t="str">
        <f>E14</f>
        <v>SCE Gütersloh</v>
      </c>
      <c r="E46" s="139" t="str">
        <f>E16</f>
        <v>TuS Friedrichsdorf</v>
      </c>
      <c r="F46" s="139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5:6</v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SCE GüterslohSCC Italia Gütersloh</v>
      </c>
      <c r="D47" s="139" t="str">
        <f>E14</f>
        <v>SCE Gütersloh</v>
      </c>
      <c r="E47" s="139" t="str">
        <f>E17</f>
        <v>SCC Italia Gütersloh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2:1</v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SC BlankenhagenTuS Friedrichsdorf</v>
      </c>
      <c r="D48" s="139" t="str">
        <f>E15</f>
        <v>SC Blankenhagen</v>
      </c>
      <c r="E48" s="139" t="str">
        <f>E16</f>
        <v>TuS Friedrichsdorf</v>
      </c>
      <c r="F48" s="139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0:3</v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SC BlankenhagenSCC Italia Gütersloh</v>
      </c>
      <c r="D49" s="139" t="str">
        <f>E15</f>
        <v>SC Blankenhagen</v>
      </c>
      <c r="E49" s="139" t="str">
        <f>E17</f>
        <v>SCC Italia Gütersloh</v>
      </c>
      <c r="F49" s="139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1:4</v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TuS FriedrichsdorfSCC Italia Gütersloh</v>
      </c>
      <c r="D50" s="139" t="str">
        <f>E16</f>
        <v>TuS Friedrichsdorf</v>
      </c>
      <c r="E50" s="139" t="str">
        <f>E17</f>
        <v>SCC Italia Gütersloh</v>
      </c>
      <c r="F50" s="139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4:3</v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SCE GüterslohSV Avenwedde</v>
      </c>
      <c r="D51" s="139" t="str">
        <f aca="true" t="shared" si="3" ref="D51:D60">E41</f>
        <v>SCE Gütersloh</v>
      </c>
      <c r="E51" s="139" t="str">
        <f aca="true" t="shared" si="4" ref="E51:E60">D41</f>
        <v>SV Avenwedde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0:4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SC BlankenhagenSV Avenwedde</v>
      </c>
      <c r="D52" s="139" t="str">
        <f t="shared" si="3"/>
        <v>SC Blankenhagen</v>
      </c>
      <c r="E52" s="139" t="str">
        <f t="shared" si="4"/>
        <v>SV Avenwedde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0:4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TuS FriedrichsdorfSV Avenwedde</v>
      </c>
      <c r="D53" s="139" t="str">
        <f t="shared" si="3"/>
        <v>TuS Friedrichsdorf</v>
      </c>
      <c r="E53" s="139" t="str">
        <f t="shared" si="4"/>
        <v>SV Avenwedde</v>
      </c>
      <c r="F53" s="139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2:1</v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SCC Italia GüterslohSV Avenwedde</v>
      </c>
      <c r="D54" s="139" t="str">
        <f t="shared" si="3"/>
        <v>SCC Italia Gütersloh</v>
      </c>
      <c r="E54" s="139" t="str">
        <f t="shared" si="4"/>
        <v>SV Avenwedde</v>
      </c>
      <c r="F54" s="139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0:1</v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SC BlankenhagenSCE Gütersloh</v>
      </c>
      <c r="D55" s="139" t="str">
        <f t="shared" si="3"/>
        <v>SC Blankenhagen</v>
      </c>
      <c r="E55" s="139" t="str">
        <f t="shared" si="4"/>
        <v>SCE Gütersloh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2:4</v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TuS FriedrichsdorfSCE Gütersloh</v>
      </c>
      <c r="D56" s="139" t="str">
        <f t="shared" si="3"/>
        <v>TuS Friedrichsdorf</v>
      </c>
      <c r="E56" s="139" t="str">
        <f t="shared" si="4"/>
        <v>SCE Gütersloh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6:5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SCC Italia GüterslohSCE Gütersloh</v>
      </c>
      <c r="D57" s="139" t="str">
        <f t="shared" si="3"/>
        <v>SCC Italia Gütersloh</v>
      </c>
      <c r="E57" s="139" t="str">
        <f t="shared" si="4"/>
        <v>SCE Gütersloh</v>
      </c>
      <c r="F57" s="139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1:2</v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TuS FriedrichsdorfSC Blankenhagen</v>
      </c>
      <c r="D58" s="139" t="str">
        <f t="shared" si="3"/>
        <v>TuS Friedrichsdorf</v>
      </c>
      <c r="E58" s="139" t="str">
        <f t="shared" si="4"/>
        <v>SC Blankenhagen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3:0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SCC Italia GüterslohSC Blankenhagen</v>
      </c>
      <c r="D59" s="139" t="str">
        <f t="shared" si="3"/>
        <v>SCC Italia Gütersloh</v>
      </c>
      <c r="E59" s="139" t="str">
        <f t="shared" si="4"/>
        <v>SC Blankenhagen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4:1</v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SCC Italia GüterslohTuS Friedrichsdorf</v>
      </c>
      <c r="D60" s="139" t="str">
        <f t="shared" si="3"/>
        <v>SCC Italia Gütersloh</v>
      </c>
      <c r="E60" s="139" t="str">
        <f t="shared" si="4"/>
        <v>TuS Friedrichsdorf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3:4</v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Maik Kahmen</cp:lastModifiedBy>
  <cp:lastPrinted>2013-11-27T16:56:20Z</cp:lastPrinted>
  <dcterms:created xsi:type="dcterms:W3CDTF">2010-02-21T20:17:19Z</dcterms:created>
  <dcterms:modified xsi:type="dcterms:W3CDTF">2015-01-11T19:52:19Z</dcterms:modified>
  <cp:category/>
  <cp:version/>
  <cp:contentType/>
  <cp:contentStatus/>
</cp:coreProperties>
</file>